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tabRatio="569" activeTab="0"/>
  </bookViews>
  <sheets>
    <sheet name="saistibas" sheetId="2" r:id="rId3"/>
  </sheets>
  <definedNames>
    <definedName name="Excel_BuiltIn_Print_Titles_1">#REF!</definedName>
  </definedNames>
  <calcPr calcId="191029"/>
</workbook>
</file>

<file path=xl/calcChain.xml><?xml version="1.0" encoding="utf-8"?>
<calcChain xmlns="http://schemas.openxmlformats.org/spreadsheetml/2006/main">
  <c r="L141" i="2" l="1"/>
</calcChain>
</file>

<file path=xl/sharedStrings.xml><?xml version="1.0" encoding="utf-8"?>
<sst xmlns="http://schemas.openxmlformats.org/spreadsheetml/2006/main" count="507" uniqueCount="318">
  <si>
    <t>x</t>
  </si>
  <si>
    <t>Aizdevējs</t>
  </si>
  <si>
    <t>Mērķis</t>
  </si>
  <si>
    <t>Līguma noslēgšanas datums</t>
  </si>
  <si>
    <t>turpmākajos gados</t>
  </si>
  <si>
    <t>B</t>
  </si>
  <si>
    <t>D</t>
  </si>
  <si>
    <t>E</t>
  </si>
  <si>
    <t>Aizņēmumi</t>
  </si>
  <si>
    <t>Valsts kase</t>
  </si>
  <si>
    <t>20.11.2009</t>
  </si>
  <si>
    <t>02.11.2009</t>
  </si>
  <si>
    <t>29.06.2009</t>
  </si>
  <si>
    <t>29.11.2012</t>
  </si>
  <si>
    <t>27.05.2010</t>
  </si>
  <si>
    <t>12.06.2009</t>
  </si>
  <si>
    <t>28.05.2012</t>
  </si>
  <si>
    <t>30.10.2019</t>
  </si>
  <si>
    <t>08.06.2018</t>
  </si>
  <si>
    <t>30.06.2014</t>
  </si>
  <si>
    <t>ERAF projekta (Nr.5.6.2.0/17/I/022) "Uzņēmējdarbības attīstība Austrumu pierobežā" īstenošanai</t>
  </si>
  <si>
    <t>28.10.2020</t>
  </si>
  <si>
    <t>12.03.2020</t>
  </si>
  <si>
    <t>15.09.2014</t>
  </si>
  <si>
    <t>Balvu daudzfunkcionālā sporta kompleksa celtniecībai- peldbaseina pabeigšanai</t>
  </si>
  <si>
    <t>05.09.2008</t>
  </si>
  <si>
    <t>20.05.2013</t>
  </si>
  <si>
    <t>20.09.2013</t>
  </si>
  <si>
    <t>17.08.2011</t>
  </si>
  <si>
    <t>KPFI projekts Kompleksi risinājumi siltumnīcefekta gāzu emisiju samazināšanai Balvu novada pašvaldības izglītības iestāžu ēkās</t>
  </si>
  <si>
    <t>18.08.2011</t>
  </si>
  <si>
    <t>Projektam Katlu telpas iekārtu uzstādīšana un siltumtrases rekonstrukcija Pansionātā Balvi īstenošanai</t>
  </si>
  <si>
    <t>Projekts Kompleksi risinājumi siltumnīcefekta gāzu emisijas samazināšanai Eglaines pamatskolas ēkā</t>
  </si>
  <si>
    <t>17.06.2013</t>
  </si>
  <si>
    <t>Projekts Kompleksi risinājumi siltumnīcefekta gāzu emisiju samazināšanai Rugāju novada vidusskolas ēkā</t>
  </si>
  <si>
    <t>19.08.2013</t>
  </si>
  <si>
    <t>04.11.2010</t>
  </si>
  <si>
    <t>20.03.2012</t>
  </si>
  <si>
    <t>18.10.2012</t>
  </si>
  <si>
    <t>22.06.2006</t>
  </si>
  <si>
    <t>29.12.2008</t>
  </si>
  <si>
    <t>20.06.2012</t>
  </si>
  <si>
    <t>Balvu Valsts ģimnāzijas internāta renovācija un mēbeļu iegāde</t>
  </si>
  <si>
    <t>15.10.2014</t>
  </si>
  <si>
    <t>12.11.2018</t>
  </si>
  <si>
    <t>Ceļu un to kompleksa investīciju projektu projekta "Grants seguma atjaunošana Eržepoles,Kalna,Krasta,Vārpu,Ziedu ielām un ietves atjaunošana Liepnas ielai Viļakas pilsētā" īstenošanai</t>
  </si>
  <si>
    <t>05.10.2018</t>
  </si>
  <si>
    <t>EKII projekta ''Siltumnīcefekta gāzu emisiju samazināšana Balvu Kultūras un atpūtas centrā'' īstenošanai</t>
  </si>
  <si>
    <t>02.03.2017</t>
  </si>
  <si>
    <t>17.09.2018</t>
  </si>
  <si>
    <t>ELFLA projekta (nr.18-07-A00702-000091) " Viļakas novada Šķilbēnu pagasta " Plešova-Siševa" ceļa pārbūve" īstenošanai</t>
  </si>
  <si>
    <t>16.09.2019</t>
  </si>
  <si>
    <t>ELFLA projekta (nr.18-07-A00702-000110) "Grants seguma ceļa " Kozīne-Gubeņi-Repkova-Ņemecki" pārbūve Viļakas novada Vecumu pagastā" īstenošanai</t>
  </si>
  <si>
    <t>ELFLA projekta (nr.18-07-A00702-000111) "Viļakas novada Šķilbēnu pagasta Šķilbēnu ciema Dīķa ielas pārbūve" īstenošanai</t>
  </si>
  <si>
    <t>ELFLA projekts (nr.18-07-A00702-000089) "Grants seguma ceļa "Semenova-Loduma-Truļļova-Bahmatova" pārbūve Viļakas novada Medņevas pagastā" īstenošanai</t>
  </si>
  <si>
    <t>13.03.2015</t>
  </si>
  <si>
    <t>30.11.2018</t>
  </si>
  <si>
    <t>17.12.2013</t>
  </si>
  <si>
    <t>01.09.2021</t>
  </si>
  <si>
    <t>ERAF projekta (Nr. 3.3.1.0/17/I/038) "Investīcijas uzņēmējdarbības dažādošanai un konkurētspējas uzlabošanai Balvu novadā " īstenošanai</t>
  </si>
  <si>
    <t>29.01.2021</t>
  </si>
  <si>
    <t>ERAF projekta (NR. 4.2.2.0/20/I/011) "Balvu novada pašvaldības administrācijas ēkas energoefektivitātes paaugstināšana" īstenošanai</t>
  </si>
  <si>
    <t>07.07.2021</t>
  </si>
  <si>
    <t>22.12.2021</t>
  </si>
  <si>
    <t>26.11.2021</t>
  </si>
  <si>
    <t>ERAF projekta ( Nr. 5.6.2.0/17/I/020) ''Industriālās teritorijas attīstība, revitalizējot īpašumus Balvu novadā" īstenošanai</t>
  </si>
  <si>
    <t>24.02.2021</t>
  </si>
  <si>
    <t>ERAF projekta (Nr.5.6.2.0/17/I020) "Industriālās teritorijas attīstība, revitalizējot īpašumus Balvu novadā" īstenošanai</t>
  </si>
  <si>
    <t>ERAF projekta Nr.5.6.2.0/17/I/022 "Uzņēmējdarbības attīstība Austrumu pierobežā" īstenošanai</t>
  </si>
  <si>
    <t>28.06.2021</t>
  </si>
  <si>
    <t>ERAF  projekta (Nr.9.3.1.1/18/I/010) "Pakalpojumu infrastruktūras attīstība deinstitucionalizācijas plānu īstenošanai Balvu novadā" īstenošanai</t>
  </si>
  <si>
    <t>07.05.2020</t>
  </si>
  <si>
    <t>12.07.2018</t>
  </si>
  <si>
    <t>31.08.2015</t>
  </si>
  <si>
    <t>31.08.2017</t>
  </si>
  <si>
    <t>26.08.2020</t>
  </si>
  <si>
    <t>21.05.2014</t>
  </si>
  <si>
    <t>20.02.2015</t>
  </si>
  <si>
    <t>17.02.2014</t>
  </si>
  <si>
    <t>KPFI projekta ,,Kompleksi risinājumi gāzu emisiju samazināšanai Balvu Valsts ģimnāzijas internātā''</t>
  </si>
  <si>
    <t>20.08.2014</t>
  </si>
  <si>
    <t>KPFI projekta ,,Publisko teritoriju apgaismojuma infrastruktūras uzlabošana Balvu novadā, II kārta'' īstenošanai</t>
  </si>
  <si>
    <t>20.05.2015</t>
  </si>
  <si>
    <t>27.06.2017</t>
  </si>
  <si>
    <t>Latvijas-Krievijas pārrobežu sadarbības programmas projekta (LV-RU-018)''Amatniecība bez robežām''investīciju daļas īstenošanai</t>
  </si>
  <si>
    <t>26.03.2020</t>
  </si>
  <si>
    <t>Latvijas-Lietuvas pārrobežu sadarbības programmas projekta (Nr.LLI-539) "Amatu prasmes tūrisma telpā" investīciju daļas īstenošanai</t>
  </si>
  <si>
    <t>27.10.2021</t>
  </si>
  <si>
    <t>17.08.2018</t>
  </si>
  <si>
    <t>Pašvaldības autonomo funkciju veikšanai nepieciešamā transporta (autobusa)iegādei</t>
  </si>
  <si>
    <t>02.09.2016</t>
  </si>
  <si>
    <t>Pašvaldības autonomo funkciju veikšanai nepieciešamā transporta iegāde</t>
  </si>
  <si>
    <t>28.06.2018</t>
  </si>
  <si>
    <t>Pašvaldības autonomo funkciju veikšanai nepieciešamā transporta iegādei</t>
  </si>
  <si>
    <t>Pašvaldības autonomo funkciju veikšanai nepieciešamā transporta (vieglo automašīnu) iegādei</t>
  </si>
  <si>
    <t>27.01.2017</t>
  </si>
  <si>
    <t>06.09.2018</t>
  </si>
  <si>
    <t>Prioritārā investīciju projekta "Baltinavas kultūras nama infrastruktūras sakārtošana un atjaunošana" īstenošanai</t>
  </si>
  <si>
    <t>28.06.2016</t>
  </si>
  <si>
    <t>Prioritārā investīciju projekta "Muižas apbūves kompleksa pārbūve 1.kārta - jumtaun pamatu remontdarbi" īstenošanai</t>
  </si>
  <si>
    <t>Prioritārā investīciju projekta "Notekūdeņu infrastruktūras sakārtošana Balvu ezeram pieguļošajā aglomerācijā" īstenošanai</t>
  </si>
  <si>
    <t>Prioritārā investīciju projekta ''Velo trases un piedzīvojumu trases izbūve'' īstenošanai</t>
  </si>
  <si>
    <t>27.08.2018</t>
  </si>
  <si>
    <t>Prioritārā investīciju projekta "Viļakas pilsētas brīvdabas estrādes jumta būvniecība" īstenošana</t>
  </si>
  <si>
    <t>16.12.2015</t>
  </si>
  <si>
    <t>04.07.2018</t>
  </si>
  <si>
    <t>Projekta "Alejas un Dīķa ielu remontdarbi Šķilbēnu pagastā" īstenošanai</t>
  </si>
  <si>
    <t>Projekta ''Autoceļa Kaši-Surikova_Buksti atjaunošana" īstenošanai</t>
  </si>
  <si>
    <t>Projekta "Baltinavas muzeja telpu paplašināšana" īstenošanai</t>
  </si>
  <si>
    <t>31.08.2021</t>
  </si>
  <si>
    <t>15.10.2015</t>
  </si>
  <si>
    <t>31.07.2015</t>
  </si>
  <si>
    <t>10.05.2017</t>
  </si>
  <si>
    <t>Projekta "Jaunatnes ielas seguma atjaunošanas darbu veikšana Balvos"īstenošanai</t>
  </si>
  <si>
    <t>Projekta "Lauku ielas 1.posma pārbūve Balvos" īstenošanai</t>
  </si>
  <si>
    <t>11.11.2020</t>
  </si>
  <si>
    <t>Projekta "Skolas ielas Žīguros un Viļakas pilsētas apbraucamā ceļa pie katoļu baznīcas divkārtu virsmas apstrāde Viļakas novadā" īstenošanai</t>
  </si>
  <si>
    <t>Projekta "Stāvlaukuma atjaunošana pie Balvu Kultūras un atpūtas centra" īstenošanai</t>
  </si>
  <si>
    <t>Projekta "Vidzemes un Tautas ielu posmu atjaunošana Balvos" īstenošanai</t>
  </si>
  <si>
    <t>08.09.2021</t>
  </si>
  <si>
    <t>01.10.2020</t>
  </si>
  <si>
    <t>30.05.2018</t>
  </si>
  <si>
    <t>Projekts Pakalpojumu infrastruktūras attīstība deinstitucionalizācijas plāna īstenošanai Rugāju novadā īstenošanai</t>
  </si>
  <si>
    <t>31.07.2020</t>
  </si>
  <si>
    <t>Projekts Pašvaldības nozīmes koplietošanas meliorācijas sistēmas novadgrāvju atjaunošana Rugāju pagasta, Baldonēs īstenošanai</t>
  </si>
  <si>
    <t>30.06.2020</t>
  </si>
  <si>
    <t>Projekts Pašvaldības nozīmes koplietošanas meliorācijas sistēmas novadgrāvju atjaunošana Rugāju pagasta Kaņepienē īstenošanai</t>
  </si>
  <si>
    <t>Projekts Pašvaldības nozīmes koplietošanas meliorācijas sistēmas novadgrāvju atjaunošana Rugāju pagasta Rugājos īstenošanai</t>
  </si>
  <si>
    <t>Projekts Pašvaldības nozīmes koplietošanas meliorācijas sistēmas novadgrāvju atjaunošana Rugāju pagastā un Lazdukalna pagastā īstenošanai</t>
  </si>
  <si>
    <t>26.07.2016</t>
  </si>
  <si>
    <t>10.12.2013</t>
  </si>
  <si>
    <t>04.02.2014</t>
  </si>
  <si>
    <t>03.05.2018</t>
  </si>
  <si>
    <t>KOPĀ:</t>
  </si>
  <si>
    <t>Galvojumi</t>
  </si>
  <si>
    <t>Luminor Bank</t>
  </si>
  <si>
    <t>Atkritumu saglabāšanas poligona ''Kaudzītes''infrastruktūras attīstība</t>
  </si>
  <si>
    <t>25.09.2012</t>
  </si>
  <si>
    <t>Citas ilgtermiņa saistības</t>
  </si>
  <si>
    <t>Kopā saistības</t>
  </si>
  <si>
    <t>KOPĀ</t>
  </si>
  <si>
    <t>ERAF projekta (Nr.4.2.2.0/20/I/028) "Balvu Mūzikas skolas ēkas energoefektivitātes paaugstināšana"īstenošanai</t>
  </si>
  <si>
    <t>22.12.2031</t>
  </si>
  <si>
    <t>20.12.2041</t>
  </si>
  <si>
    <t>22.12.2036</t>
  </si>
  <si>
    <t>20.11.2041</t>
  </si>
  <si>
    <t>ERAF projekta (Nr.5.6.2.0/17/I/020) "Industriālās teritorijas attīstība, revitalizējot īpašumus Balvu novadā" īstenošanai</t>
  </si>
  <si>
    <t>20.11.2031</t>
  </si>
  <si>
    <t>21.10.2041</t>
  </si>
  <si>
    <t>20.08.2036</t>
  </si>
  <si>
    <t>Projekta "Viļakas novada ielu un autoceļu remontdarbi" īstenošanai</t>
  </si>
  <si>
    <t>20.08.2041</t>
  </si>
  <si>
    <t>ERAF projekta (Nr.3.3.1.0/17/I/038) "Investīcijas uzņēmējdarbības dažādošanai un konkurētspējas uzlabošanai Balvu novadā" īstenošanai</t>
  </si>
  <si>
    <t>20.06.2031</t>
  </si>
  <si>
    <t>20.06.2041</t>
  </si>
  <si>
    <t>20.06.2036</t>
  </si>
  <si>
    <t>Investīciju projektu īstenošanai (saistību pārjaunojums)</t>
  </si>
  <si>
    <t>17.05.2021</t>
  </si>
  <si>
    <t>20.11.2037</t>
  </si>
  <si>
    <t>15.03.2021</t>
  </si>
  <si>
    <t>20.02.2051</t>
  </si>
  <si>
    <t>20.08.2031</t>
  </si>
  <si>
    <t>20.01.2031</t>
  </si>
  <si>
    <t>21.10.2030</t>
  </si>
  <si>
    <t>22.10.2040</t>
  </si>
  <si>
    <t>06.10.2020</t>
  </si>
  <si>
    <t>20.09.2040</t>
  </si>
  <si>
    <t>Projekta"Viļakas pilsētas ielu, Medņevas un Šķilbēnu pagasta grants ceļu remontdarbi" īstenošanai</t>
  </si>
  <si>
    <t>20.08.2025</t>
  </si>
  <si>
    <t>20.08.2030</t>
  </si>
  <si>
    <t>20.07.2023</t>
  </si>
  <si>
    <t>22.07.2030</t>
  </si>
  <si>
    <t>20.06.2023</t>
  </si>
  <si>
    <t>21.04.2025</t>
  </si>
  <si>
    <t>20.03.2025</t>
  </si>
  <si>
    <t>ELFLA projekta (Nr.19-07-A00702-000054) "Baltinavas novada pašvaldības grants ceļu pārbūve 3.kārta" īstenošanai</t>
  </si>
  <si>
    <t>20.09.2023</t>
  </si>
  <si>
    <t>Baltinavas novada pašvaldības grants ceļu pārbūve 2. kārta</t>
  </si>
  <si>
    <t>22.12.2025</t>
  </si>
  <si>
    <t>20.09.2039</t>
  </si>
  <si>
    <t>20.12.2030</t>
  </si>
  <si>
    <t>04.07.2019</t>
  </si>
  <si>
    <t>20.06.2049</t>
  </si>
  <si>
    <t>ERAF projekts "Modernizēt mācību vidi Viļakas Valsts ģimnāzijā" īstenošanai</t>
  </si>
  <si>
    <t>03.04.2019</t>
  </si>
  <si>
    <t>20.03.2039</t>
  </si>
  <si>
    <t>22.11.2038</t>
  </si>
  <si>
    <t>20.10.2023</t>
  </si>
  <si>
    <t>22.09.2025</t>
  </si>
  <si>
    <t>20.09.2038</t>
  </si>
  <si>
    <t>20.12.2024</t>
  </si>
  <si>
    <t>Prioritārā investīciju projekta "Asfaltbetona seguma uzklāšana Viļakas pilsētas tirgus laukumam" īstenošanai</t>
  </si>
  <si>
    <t>20.08.2038</t>
  </si>
  <si>
    <t>22.08.2033</t>
  </si>
  <si>
    <t>20.08.2048</t>
  </si>
  <si>
    <t>KF projekta (Nr.5.3.1.0/17/I/007) “Balvu pilsētas ūdenssaimniecības attīstības III kārta” īstenošanai</t>
  </si>
  <si>
    <t>20.06.2028</t>
  </si>
  <si>
    <t>20.06.2038</t>
  </si>
  <si>
    <t>20.06.2025</t>
  </si>
  <si>
    <t>ELFLA projekta (Nr.17-07-A00702-000030) “Baltinavas novada pašvaldības grants ceļu pārbūve” īstenošanai</t>
  </si>
  <si>
    <t>20.05.2038</t>
  </si>
  <si>
    <t>ELFLA projekta (Nr.18-07-A00702-000011) "Autoceļa „Pelnupe-Osa” posma pārbūve” īstenošanai</t>
  </si>
  <si>
    <t>ELFLA projekta (Nr.18-07-A00702-000010) "Autoceļa „Egļusala-Žeivinieki” pārbūve” īstenošanai</t>
  </si>
  <si>
    <t>ELFLA projekta (Nr.18-07-A00702-000009) "Autoceļa „Ozolnes-Liepari” pārbūve” īstenošanai</t>
  </si>
  <si>
    <t>Prioritārā investīciju projekta “Teritorijas attīrīšana no būvgružiem pilsētas objektā “Linu fabrika”” īstenošanai</t>
  </si>
  <si>
    <t>20.04.2038</t>
  </si>
  <si>
    <t>20.08.2047</t>
  </si>
  <si>
    <t>22.06.2037</t>
  </si>
  <si>
    <t>20.05.2037</t>
  </si>
  <si>
    <t>20.02.2037</t>
  </si>
  <si>
    <t>22.01.2024</t>
  </si>
  <si>
    <t>20.08.2023</t>
  </si>
  <si>
    <t>Projekta „Rugāju novada vidusskolas 2.kārtas būvniecības darbi” īstenošanai</t>
  </si>
  <si>
    <t>20.07.2036</t>
  </si>
  <si>
    <t>20.06.2024</t>
  </si>
  <si>
    <t>20.12.2023</t>
  </si>
  <si>
    <t>20.10.2031</t>
  </si>
  <si>
    <t>ERAF projekta (Nr.3DP/3.4.1.1.0/13/APIA/CFLA/083/102) “Ūdenssaimniecības attīstība Balvu novada Kurnas ciemā” īstenošanai</t>
  </si>
  <si>
    <t>20.05.2025</t>
  </si>
  <si>
    <t>ERAF projekta (Nr.3DP/3.4.1.1.0/13/APIA/CFLA/084/103) “Balvu novada Bērzpils ciema ūdenssaimniecības sakārtošana” īstenošanai</t>
  </si>
  <si>
    <t>20.03.2030</t>
  </si>
  <si>
    <t>KPFI projekta (Nr. KPFI-15.4/85) “Kompleksi risinājumi siltumnīcefekta gāzu emisiju samazināšanai Tilžas internātpamatskolā” īstenošanai</t>
  </si>
  <si>
    <t>20.02.2030</t>
  </si>
  <si>
    <t>20.10.2026</t>
  </si>
  <si>
    <t>KPFI projekta (Nr. KPFI-15.3/49) “Kompleksi risinājumi siltumnīcefekta gāzu emisiju samazināšanai Baltinavas kultūras nama ēkā” īstenošanai</t>
  </si>
  <si>
    <t>20.08.2028</t>
  </si>
  <si>
    <t>KPFI projekta (Nr.KPFI-15.2/71) „Oglekļa dioksīda emisiju samazināšana, uzlabojot Baltinavas vidusskolas ēkas energoefektivitāti” īstenošanai</t>
  </si>
  <si>
    <t>20.06.2034</t>
  </si>
  <si>
    <t>KPFI projekta (Nr.KPFI-15.2/61) "Kompleksi risinājumi siltumnīcefekta gāzu emisiju samazināšanai Rugāju novada vidusskolas ēkās” īstenošanai</t>
  </si>
  <si>
    <t>22.05.2034</t>
  </si>
  <si>
    <t>KPFI projekta (Nr.KPFI-15.2/188) "Kompleksi risinājumi siltumnīcefekta gāzu emisiju samazināšanai Tilžas vidusskolā” īstenošanai</t>
  </si>
  <si>
    <t>20.02.2028</t>
  </si>
  <si>
    <t>Projekta „Rugāju sociālās aprūpes centra būvniecības 2. kārta” īstenošanai</t>
  </si>
  <si>
    <t>20.01.2034</t>
  </si>
  <si>
    <t>ERAF projekta (Nr.3DP/3.6.2.1.0/13/IPIA/VRAA/003) „Balvu Valsts ģimnāzijas rekonstrukcija. 1.kārta” īstenošanai</t>
  </si>
  <si>
    <t>20.11.2028</t>
  </si>
  <si>
    <t>20.09.2028</t>
  </si>
  <si>
    <t>Projekta "Rugāju novada vidusskolas stadiona izbūves pabeigšana" īstenošanai</t>
  </si>
  <si>
    <t>20.08.2043</t>
  </si>
  <si>
    <t>ERAF projekta (Nr.3DP/3.6.2.1.0/13/IPIA/VRAA/001/015) „Brīvības ielas posma rekonstrukcija no Balvu pilsētas administratīvās robežas līdz šķērsielai pie parka” īstenošanai</t>
  </si>
  <si>
    <t>20.06.2033</t>
  </si>
  <si>
    <t>ERAF projekta (Nr.3DP/3.6.2.1.0/12/IPIA/VRAA/002/004) „Balvu pilsētas ielu rekonstrukcija stratēģiski nozīmīgu objektu sasniedzamības nodrošināšanai” īstenošanai</t>
  </si>
  <si>
    <t>20.05.2028</t>
  </si>
  <si>
    <t>ELFLA projekta "Baltinavas interešu-izglītības un kultūras centra radošo darbnīcu telpu jumta rekonstrukcija" īstenošanai</t>
  </si>
  <si>
    <t>20.03.2026</t>
  </si>
  <si>
    <t>ERAF projekta "Ūdenssaimniecības infrastruktūras attīstība Rugāju novada Rugāju ciemā" īstenošanai</t>
  </si>
  <si>
    <t>ERAF projekta (Nr.3DP/3.4.1.1.0/09/APIA/CFLA/110/115) „Ūdenssaimniecības attīstība Tilžas pagasta Tilžas ciemam" īstenošanai</t>
  </si>
  <si>
    <t>20.06.2027</t>
  </si>
  <si>
    <t>ERAF projekta (Nr.3DP/3.4.1.1.0/09/APIA/CFLA/108/114) „Ūdenssaimniecības attīstība Baltinavas novada Baltinavas ciemā” īstenošanai</t>
  </si>
  <si>
    <t>20.05.2032</t>
  </si>
  <si>
    <t>ERAF projekta "Ūdenssaimniecības infrastruktūras attīstība Rugāju novada Skujetnieku ciemā" īstenošanai</t>
  </si>
  <si>
    <t>03.04.2012</t>
  </si>
  <si>
    <t>20.04.2037</t>
  </si>
  <si>
    <t xml:space="preserve">Projekts Ūdenssaimniecības infrastruktūras attīstība Rugāju novada Benislavas ciemā </t>
  </si>
  <si>
    <t>22.03.2032</t>
  </si>
  <si>
    <t>20.10.2037</t>
  </si>
  <si>
    <t>20.07.2026</t>
  </si>
  <si>
    <t>20.07.2028</t>
  </si>
  <si>
    <t>20.10.2030</t>
  </si>
  <si>
    <t>ELFLA projekta „Baltinavas interešu un kultūras centra ēkas renovācija” īstenošanai</t>
  </si>
  <si>
    <t>ERAF projekta "Balvu pilsētas PII "Sienāzītis" rekonstrukcija Balvos, Brīvības ielā 50B" īstenošanai</t>
  </si>
  <si>
    <t>20.11.2029</t>
  </si>
  <si>
    <t>ERAF projekta "Satiksmes drošības uzlabojumi Balvos, Ezera un Dārzu ielu krustojumā" īstenošanai</t>
  </si>
  <si>
    <t>22.10.2029</t>
  </si>
  <si>
    <t>ERAF projekta "Sociālās dzīvojamās mājas Balvos, Daugavpils ielā 73a energoefektivitātes paaugstināšana" īstenošanai</t>
  </si>
  <si>
    <t>20.05.2029</t>
  </si>
  <si>
    <t>Rugāju pagasta Sporta nama celtniecības darbu pilnīgai pabeigšanai</t>
  </si>
  <si>
    <t>Projekta ,,Rugāju sporta zāles celtniecība" pabeigšanai</t>
  </si>
  <si>
    <t>22.06.2026</t>
  </si>
  <si>
    <t>Saistību apmērs (EUR)</t>
  </si>
  <si>
    <t>Domes priekšsēdētājs                                                                                               S.Maksimovs</t>
  </si>
  <si>
    <t>6.pielikums</t>
  </si>
  <si>
    <t>Balvu novada pašvaldības plānoto aizņēmumu un saistību apmērs 2023.-2027.gadam un turpmakājiem gadiem (EUR)</t>
  </si>
  <si>
    <t>Rugāju sociālā aprūpes centra būvniecības 2.kārta</t>
  </si>
  <si>
    <t>20.12.2027</t>
  </si>
  <si>
    <t>Projekta "Bērzu ielas posma pārbūve un autostāvvietas seguma atjaunošana Skolas ielā Balvu pilsētā" īstenošanai</t>
  </si>
  <si>
    <t>20.11.2036</t>
  </si>
  <si>
    <t>27.05.2022</t>
  </si>
  <si>
    <t>20.04.2032</t>
  </si>
  <si>
    <t>Budžeta un finanšu vadībai</t>
  </si>
  <si>
    <t>13.07.2022</t>
  </si>
  <si>
    <t>Projekta "Balvu sākumskolas ēkas pārbūve" investīciju īstenošanai</t>
  </si>
  <si>
    <t>18.10.2022</t>
  </si>
  <si>
    <t>20.09.2032</t>
  </si>
  <si>
    <t>Projekta "Baltinavas ciema ielu dubultās virsmas apstrāde"investīciju īstenošanai</t>
  </si>
  <si>
    <t>ERAF projekta ( Nr. 5.6.2.0/17/I/015) ''Vides sakārtošana uzņēmējdarbības attšitībai Balvu novadā" īstenošanai</t>
  </si>
  <si>
    <t>Prioritārā investīciju projekta "Balvu muižas apbūves kompleksa pārbūve, 2.kārta" īstenošanai</t>
  </si>
  <si>
    <t>08.11.2022</t>
  </si>
  <si>
    <t>20.10.2042</t>
  </si>
  <si>
    <t>20.11.2042</t>
  </si>
  <si>
    <t>25.09.2026</t>
  </si>
  <si>
    <t>19.12.2022</t>
  </si>
  <si>
    <t>ERAF projekta (Nr.9.3.1.1/18/I/017) "Sabiedrībā balstītu sociālo pakalpojumu infrastruktūras izveide un attīstība Viļakas novadā" īstenošanai</t>
  </si>
  <si>
    <t>05.06.2020</t>
  </si>
  <si>
    <t>20.05.2040</t>
  </si>
  <si>
    <t>"Par Balvu novada pašvaldības 2023.gada budžetu"</t>
  </si>
  <si>
    <t>Latvijas- Lietuvas pārrobežu sadarbības programmas projekts "Uz ūdens resursiem balstītā kopējā tūrisma piedāvājuma radīšana Latgalē un Utenas apgabalā"</t>
  </si>
  <si>
    <t>ELFLA projekta "Rugāju stadiona izbūves otrā kārta: Pamatnes izveidošana zem mākslīgā futbola laukuma seguma" īstenošanai</t>
  </si>
  <si>
    <t>ERAF projekta "Transporta sistēmas efektivitātes un satiksmes drošības uzlabošana Balvos, Bērzpils ielā, veicot autoceļa P47 Balvi-Kapūne renovāciju (posmā no Tautas ielas līdz Balvu administratīvai robežai) " īstenošanai</t>
  </si>
  <si>
    <t>Projekta ,,Balvu novada pašvaldības Balvu Profesionālās un vispārizglītojošās vidusskolas internāta renovācija'' īstenošanai</t>
  </si>
  <si>
    <t>Projekta ,,Balvu novada pašvaldības Balvu pagasta Naudaskalna ciemata ceļu remontam'' īstenošanai</t>
  </si>
  <si>
    <t>Projekta ''Balvu novada pašvaldības Balvu profesionālās un vispārizglītojošās vidusskolas internāta mēbeļu, sadzīves tehnikas un virtuves iekārtas iegāde'' īstenošanai</t>
  </si>
  <si>
    <t>Prioritārā investīciju projekta ,,Valsts un pašvaldības vienotā klientu apkalpošanas centra izveidei Balvos'' īstenošanai</t>
  </si>
  <si>
    <t>Projekta''Papilddarbiem projektam ''Siltumnīcefekta gāzu emisiju samazināšana Balvu kultūras un atpūtas centrā'' īstenošanai</t>
  </si>
  <si>
    <t>Kultūras iestāžu investīciju projekta ''Papilddarbiem projektam ''Siltumnīcefekta gāzu emisiju samazināšana Balvu kultūras un atpūtas centrā'' īstenošanai</t>
  </si>
  <si>
    <t>Izglītības iestāžu investīciju projekta ,,Balvu stadiona pārbūve'' īstenošanai</t>
  </si>
  <si>
    <t xml:space="preserve">Prioritāro investīciju projektu ("Viļakas pilsētas labiekārtošana","Rekovas kultūras centra remonts","Vides dizaina elementa uzstādīšana un atpūtas vietas labiekārtošana Viļakas pilsētā")īstenošanai </t>
  </si>
  <si>
    <t>ERAF projekta ''Primārās enerģijas patēriņa samazināšana, sekmējot energoefektivitātes paaugstināšanu Kubulu pirmsskolas izglītības iestādē ''Ieviņa" īstenošanai</t>
  </si>
  <si>
    <t>ELFLA projekta  ''Koplietošanas meliorācijas sistēmu atjaunošana Balvu novadā'' īstenošanai</t>
  </si>
  <si>
    <t>Būvprojekta izstrādei projekta ''Industriālās teritorijas attīstība,revitalizējot īpašumus Balvu novadā''īstenošanai</t>
  </si>
  <si>
    <t>ERAF projekta ''Balvu novada vispārējās izglītības iestāžu mācību vides uzlabošana''īstenošanai</t>
  </si>
  <si>
    <t>ERAF projekta ''Pakalpojumu infrastruktūras attīstība deinstituciomnalizācijas plānu īstenošanai Balvu novadā'' īstenošanai</t>
  </si>
  <si>
    <t>KF projekta''Balvu pilsētas ūdenssaimniecības attīstība III kārta'' īstenošanai</t>
  </si>
  <si>
    <t>Latvijas-Krievijas pārrobežu sadarbības programmas projekta ''Vides pārvaldības pilnveidošana, īstenojot kopējus pasākumus RU-LV pārrobežu reģionos'' investīciju daļas īstenošanai</t>
  </si>
  <si>
    <t>Projekta "Viļakas 8(astoņu) ielu virsmas apstrāde" īstenošanai</t>
  </si>
  <si>
    <t>Latvijas- Krievijas pārrobežu sadarbības programmas projekta (Nr.LV-RU-040) ''Veco parku jaunie dzīvesstāsti:dabas teritoriju veiksmīgas pārvaldīšanas risinājumi'' investīciju daļas īstenošanai</t>
  </si>
  <si>
    <t>Balvu novada domes</t>
  </si>
  <si>
    <t>2023.gada 23.marta saistošajiem noteikumiem Nr.4/2023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</si>
</sst>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45"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BaltHelvetic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theme="4" tint="0.79986000061035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860000610351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860000610351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86000061035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860000610351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860000610351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74998235702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74998235702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74998235702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7499823570251"/>
        <bgColor indexed="64"/>
      </patternFill>
    </fill>
    <fill>
      <patternFill patternType="solid">
        <fgColor theme="8" tint="0.5997499823570251"/>
        <bgColor indexed="64"/>
      </patternFill>
    </fill>
    <fill>
      <patternFill patternType="solid">
        <fgColor theme="9" tint="0.59974998235702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62"/>
      </bottom>
    </border>
    <border>
      <left/>
      <right/>
      <top/>
      <bottom style="thick">
        <color theme="4" tint="0.4996800124645233"/>
      </bottom>
    </border>
    <border>
      <left/>
      <right/>
      <top/>
      <bottom style="thick">
        <color indexed="22"/>
      </bottom>
    </border>
    <border>
      <left/>
      <right/>
      <top/>
      <bottom style="medium">
        <color theme="4" tint="0.39998000860214233"/>
      </bottom>
    </border>
    <border>
      <left/>
      <right/>
      <top/>
      <bottom style="medium">
        <color indexed="30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/>
      <right/>
      <top/>
      <bottom style="double">
        <color indexed="5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/>
      <right/>
      <top/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</borders>
  <cellStyleXfs count="20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6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6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6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6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6" fillId="14" borderId="0" applyNumberFormat="0" applyBorder="0" applyAlignment="0" applyProtection="0"/>
    <xf numFmtId="0" fontId="26" fillId="16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17" borderId="0" applyNumberFormat="0" applyBorder="0" applyAlignment="0" applyProtection="0"/>
    <xf numFmtId="0" fontId="27" fillId="27" borderId="0" applyNumberFormat="0" applyBorder="0" applyAlignment="0" applyProtection="0"/>
    <xf numFmtId="0" fontId="3" fillId="19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24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0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27" fillId="40" borderId="0" applyNumberFormat="0" applyBorder="0" applyAlignment="0" applyProtection="0"/>
    <xf numFmtId="0" fontId="3" fillId="29" borderId="0" applyNumberFormat="0" applyBorder="0" applyAlignment="0" applyProtection="0"/>
    <xf numFmtId="0" fontId="27" fillId="41" borderId="0" applyNumberFormat="0" applyBorder="0" applyAlignment="0" applyProtection="0"/>
    <xf numFmtId="0" fontId="3" fillId="31" borderId="0" applyNumberFormat="0" applyBorder="0" applyAlignment="0" applyProtection="0"/>
    <xf numFmtId="0" fontId="27" fillId="42" borderId="0" applyNumberFormat="0" applyBorder="0" applyAlignment="0" applyProtection="0"/>
    <xf numFmtId="0" fontId="3" fillId="43" borderId="0" applyNumberFormat="0" applyBorder="0" applyAlignment="0" applyProtection="0"/>
    <xf numFmtId="0" fontId="28" fillId="44" borderId="1" applyNumberFormat="0" applyAlignment="0" applyProtection="0"/>
    <xf numFmtId="0" fontId="29" fillId="45" borderId="0" applyNumberFormat="0" applyBorder="0" applyAlignment="0" applyProtection="0"/>
    <xf numFmtId="0" fontId="4" fillId="5" borderId="0" applyNumberFormat="0" applyBorder="0" applyAlignment="0" applyProtection="0"/>
    <xf numFmtId="0" fontId="30" fillId="0" borderId="0" applyNumberFormat="0" applyFill="0" applyBorder="0" applyAlignment="0" applyProtection="0"/>
    <xf numFmtId="0" fontId="28" fillId="44" borderId="1" applyNumberFormat="0" applyAlignment="0" applyProtection="0"/>
    <xf numFmtId="0" fontId="5" fillId="46" borderId="2" applyNumberFormat="0" applyAlignment="0" applyProtection="0"/>
    <xf numFmtId="0" fontId="31" fillId="47" borderId="3" applyNumberFormat="0" applyAlignment="0" applyProtection="0"/>
    <xf numFmtId="0" fontId="6" fillId="48" borderId="4" applyNumberFormat="0" applyAlignment="0" applyProtection="0"/>
    <xf numFmtId="164" fontId="0" fillId="0" borderId="0" applyFill="0" applyBorder="0" applyAlignment="0" applyProtection="0"/>
    <xf numFmtId="164" fontId="0" fillId="0" borderId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3" fillId="49" borderId="0" applyNumberFormat="0" applyBorder="0" applyAlignment="0" applyProtection="0"/>
    <xf numFmtId="0" fontId="8" fillId="7" borderId="0" applyNumberFormat="0" applyBorder="0" applyAlignment="0" applyProtection="0"/>
    <xf numFmtId="0" fontId="34" fillId="0" borderId="5" applyNumberFormat="0" applyFill="0" applyAlignment="0" applyProtection="0"/>
    <xf numFmtId="0" fontId="9" fillId="0" borderId="6" applyNumberFormat="0" applyFill="0" applyAlignment="0" applyProtection="0"/>
    <xf numFmtId="0" fontId="35" fillId="0" borderId="7" applyNumberFormat="0" applyFill="0" applyAlignment="0" applyProtection="0"/>
    <xf numFmtId="0" fontId="10" fillId="0" borderId="8" applyNumberFormat="0" applyFill="0" applyAlignment="0" applyProtection="0"/>
    <xf numFmtId="0" fontId="36" fillId="0" borderId="9" applyNumberFormat="0" applyFill="0" applyAlignment="0" applyProtection="0"/>
    <xf numFmtId="0" fontId="11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13" borderId="1" applyNumberFormat="0" applyAlignment="0" applyProtection="0"/>
    <xf numFmtId="0" fontId="37" fillId="13" borderId="1" applyNumberFormat="0" applyAlignment="0" applyProtection="0"/>
    <xf numFmtId="0" fontId="12" fillId="13" borderId="2" applyNumberFormat="0" applyAlignment="0" applyProtection="0"/>
    <xf numFmtId="0" fontId="27" fillId="34" borderId="0" applyNumberFormat="0" applyBorder="0" applyAlignment="0" applyProtection="0"/>
    <xf numFmtId="0" fontId="27" fillId="36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38" fillId="44" borderId="11" applyNumberFormat="0" applyAlignment="0" applyProtection="0"/>
    <xf numFmtId="0" fontId="39" fillId="0" borderId="12" applyNumberFormat="0" applyFill="0" applyAlignment="0" applyProtection="0"/>
    <xf numFmtId="0" fontId="33" fillId="49" borderId="0" applyNumberFormat="0" applyBorder="0" applyAlignment="0" applyProtection="0"/>
    <xf numFmtId="0" fontId="40" fillId="0" borderId="13" applyNumberFormat="0" applyFill="0" applyAlignment="0" applyProtection="0"/>
    <xf numFmtId="0" fontId="13" fillId="0" borderId="14" applyNumberFormat="0" applyFill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4" fillId="51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42" fillId="0" borderId="0" applyNumberFormat="0" applyFill="0" applyBorder="0" applyAlignment="0" applyProtection="0"/>
    <xf numFmtId="0" fontId="0" fillId="52" borderId="15" applyNumberFormat="0" applyFont="0" applyAlignment="0" applyProtection="0"/>
    <xf numFmtId="0" fontId="0" fillId="52" borderId="16" applyNumberFormat="0" applyAlignment="0" applyProtection="0"/>
    <xf numFmtId="0" fontId="38" fillId="44" borderId="11" applyNumberFormat="0" applyAlignment="0" applyProtection="0"/>
    <xf numFmtId="0" fontId="15" fillId="46" borderId="17" applyNumberFormat="0" applyAlignment="0" applyProtection="0"/>
    <xf numFmtId="0" fontId="16" fillId="0" borderId="0">
      <alignment/>
      <protection/>
    </xf>
    <xf numFmtId="0" fontId="32" fillId="0" borderId="0" applyNumberFormat="0" applyFill="0" applyBorder="0" applyAlignment="0" applyProtection="0"/>
    <xf numFmtId="0" fontId="31" fillId="47" borderId="3" applyNumberFormat="0" applyAlignment="0" applyProtection="0"/>
    <xf numFmtId="0" fontId="0" fillId="52" borderId="15" applyNumberFormat="0" applyFont="0" applyAlignment="0" applyProtection="0"/>
    <xf numFmtId="0" fontId="40" fillId="0" borderId="13" applyNumberFormat="0" applyFill="0" applyAlignment="0" applyProtection="0"/>
    <xf numFmtId="0" fontId="29" fillId="45" borderId="0" applyNumberFormat="0" applyBorder="0" applyAlignment="0" applyProtection="0"/>
    <xf numFmtId="0" fontId="0" fillId="0" borderId="0">
      <alignment/>
      <protection/>
    </xf>
    <xf numFmtId="0" fontId="4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8" fillId="0" borderId="18" applyNumberFormat="0" applyFill="0" applyAlignment="0" applyProtection="0"/>
    <xf numFmtId="165" fontId="19" fillId="46" borderId="0" applyBorder="0" applyProtection="0">
      <alignment/>
    </xf>
    <xf numFmtId="0" fontId="34" fillId="0" borderId="5" applyNumberFormat="0" applyFill="0" applyAlignment="0" applyProtection="0"/>
    <xf numFmtId="0" fontId="35" fillId="0" borderId="7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21" fillId="53" borderId="0" xfId="180" applyFont="1" applyFill="1" applyAlignment="1" applyProtection="1">
      <alignment vertical="center"/>
      <protection locked="0"/>
    </xf>
    <xf numFmtId="0" fontId="21" fillId="0" borderId="0" xfId="180" applyFont="1" applyProtection="1">
      <alignment/>
      <protection locked="0"/>
    </xf>
    <xf numFmtId="0" fontId="21" fillId="0" borderId="0" xfId="180" applyFont="1">
      <alignment/>
      <protection/>
    </xf>
    <xf numFmtId="49" fontId="24" fillId="0" borderId="19" xfId="180" applyNumberFormat="1" applyFont="1" applyBorder="1" applyAlignment="1">
      <alignment horizontal="center" vertical="center" wrapText="1"/>
      <protection/>
    </xf>
    <xf numFmtId="0" fontId="21" fillId="53" borderId="0" xfId="180" applyFont="1" applyFill="1" applyAlignment="1">
      <alignment horizontal="center" vertical="center" wrapText="1"/>
      <protection/>
    </xf>
    <xf numFmtId="0" fontId="24" fillId="0" borderId="19" xfId="180" applyFont="1" applyBorder="1" applyAlignment="1">
      <alignment horizontal="center" vertical="center" wrapText="1"/>
      <protection/>
    </xf>
    <xf numFmtId="0" fontId="25" fillId="0" borderId="19" xfId="180" applyFont="1" applyBorder="1" applyAlignment="1">
      <alignment horizontal="center" vertical="center" wrapText="1"/>
      <protection/>
    </xf>
    <xf numFmtId="0" fontId="23" fillId="0" borderId="0" xfId="180" applyFont="1" applyAlignment="1">
      <alignment horizontal="center" wrapText="1"/>
      <protection/>
    </xf>
    <xf numFmtId="0" fontId="23" fillId="0" borderId="0" xfId="180" applyFont="1" applyAlignment="1">
      <alignment horizontal="center" vertical="center" wrapText="1"/>
      <protection/>
    </xf>
    <xf numFmtId="0" fontId="21" fillId="0" borderId="0" xfId="180" applyFont="1" applyAlignment="1">
      <alignment horizontal="center" wrapText="1"/>
      <protection/>
    </xf>
    <xf numFmtId="0" fontId="24" fillId="53" borderId="0" xfId="180" applyFont="1" applyFill="1" applyAlignment="1">
      <alignment horizontal="center" vertical="center" wrapText="1"/>
      <protection/>
    </xf>
    <xf numFmtId="49" fontId="24" fillId="0" borderId="19" xfId="180" applyNumberFormat="1" applyFont="1" applyBorder="1" applyAlignment="1">
      <alignment horizontal="center" wrapText="1"/>
      <protection/>
    </xf>
    <xf numFmtId="0" fontId="24" fillId="0" borderId="19" xfId="180" applyFont="1" applyBorder="1" applyAlignment="1">
      <alignment horizontal="center" wrapText="1"/>
      <protection/>
    </xf>
    <xf numFmtId="0" fontId="24" fillId="0" borderId="0" xfId="180" applyFont="1" applyAlignment="1">
      <alignment horizontal="center"/>
      <protection/>
    </xf>
    <xf numFmtId="0" fontId="24" fillId="0" borderId="0" xfId="180" applyFont="1" applyAlignment="1">
      <alignment horizontal="center" wrapText="1"/>
      <protection/>
    </xf>
    <xf numFmtId="49" fontId="24" fillId="0" borderId="0" xfId="180" applyNumberFormat="1" applyFont="1" applyAlignment="1">
      <alignment horizontal="center" wrapText="1"/>
      <protection/>
    </xf>
    <xf numFmtId="49" fontId="25" fillId="0" borderId="20" xfId="180" applyNumberFormat="1" applyFont="1" applyBorder="1" applyAlignment="1">
      <alignment wrapText="1"/>
      <protection/>
    </xf>
    <xf numFmtId="49" fontId="22" fillId="0" borderId="0" xfId="180" applyNumberFormat="1" applyFont="1" applyAlignment="1">
      <alignment horizontal="left" wrapText="1"/>
      <protection/>
    </xf>
    <xf numFmtId="49" fontId="24" fillId="0" borderId="19" xfId="180" applyNumberFormat="1" applyFont="1" applyBorder="1" applyAlignment="1" applyProtection="1">
      <alignment horizontal="center" vertical="center" wrapText="1"/>
      <protection locked="0"/>
    </xf>
    <xf numFmtId="49" fontId="24" fillId="0" borderId="19" xfId="180" applyNumberFormat="1" applyFont="1" applyBorder="1" applyAlignment="1" applyProtection="1">
      <alignment horizontal="left" vertical="center" wrapText="1"/>
      <protection locked="0"/>
    </xf>
    <xf numFmtId="3" fontId="24" fillId="0" borderId="19" xfId="180" applyNumberFormat="1" applyFont="1" applyBorder="1" applyAlignment="1" applyProtection="1">
      <alignment horizontal="right" vertical="center"/>
      <protection locked="0"/>
    </xf>
    <xf numFmtId="3" fontId="25" fillId="0" borderId="19" xfId="180" applyNumberFormat="1" applyFont="1" applyBorder="1" applyAlignment="1">
      <alignment horizontal="right" vertical="center" wrapText="1"/>
      <protection/>
    </xf>
    <xf numFmtId="49" fontId="25" fillId="0" borderId="19" xfId="180" applyNumberFormat="1" applyFont="1" applyBorder="1" applyAlignment="1" applyProtection="1">
      <alignment horizontal="left" vertical="center" wrapText="1"/>
      <protection locked="0"/>
    </xf>
    <xf numFmtId="0" fontId="21" fillId="0" borderId="0" xfId="180" applyFont="1" applyAlignment="1">
      <alignment horizontal="center"/>
      <protection/>
    </xf>
    <xf numFmtId="0" fontId="21" fillId="53" borderId="0" xfId="180" applyFont="1" applyFill="1" applyAlignment="1" applyProtection="1">
      <alignment horizontal="center" vertical="center" wrapText="1"/>
      <protection locked="0"/>
    </xf>
    <xf numFmtId="49" fontId="21" fillId="0" borderId="0" xfId="180" applyNumberFormat="1" applyFont="1" applyAlignment="1" applyProtection="1">
      <alignment wrapText="1"/>
      <protection locked="0"/>
    </xf>
    <xf numFmtId="0" fontId="21" fillId="0" borderId="0" xfId="180" applyFont="1" applyAlignment="1" applyProtection="1">
      <alignment horizontal="right" vertical="center" wrapText="1"/>
      <protection locked="0"/>
    </xf>
    <xf numFmtId="0" fontId="21" fillId="0" borderId="0" xfId="180" applyFont="1" applyAlignment="1">
      <alignment horizontal="right" wrapText="1"/>
      <protection/>
    </xf>
    <xf numFmtId="0" fontId="21" fillId="0" borderId="0" xfId="180" applyFont="1" applyAlignment="1" applyProtection="1">
      <alignment horizontal="center" vertical="center" wrapText="1"/>
      <protection locked="0"/>
    </xf>
    <xf numFmtId="0" fontId="21" fillId="0" borderId="0" xfId="180" applyFont="1" applyAlignment="1">
      <alignment horizontal="center" vertical="center" wrapText="1"/>
      <protection/>
    </xf>
    <xf numFmtId="49" fontId="25" fillId="0" borderId="0" xfId="180" applyNumberFormat="1" applyFont="1" applyAlignment="1" applyProtection="1">
      <alignment horizontal="left" wrapText="1"/>
      <protection locked="0"/>
    </xf>
    <xf numFmtId="49" fontId="25" fillId="0" borderId="0" xfId="180" applyNumberFormat="1" applyFont="1" applyAlignment="1" applyProtection="1">
      <alignment wrapText="1"/>
      <protection locked="0"/>
    </xf>
    <xf numFmtId="0" fontId="24" fillId="0" borderId="0" xfId="180" applyFont="1" applyAlignment="1" applyProtection="1">
      <alignment horizontal="right" vertical="center" wrapText="1"/>
      <protection locked="0"/>
    </xf>
    <xf numFmtId="0" fontId="24" fillId="0" borderId="0" xfId="180" applyFont="1" applyAlignment="1">
      <alignment horizontal="right" wrapText="1"/>
      <protection/>
    </xf>
    <xf numFmtId="49" fontId="25" fillId="0" borderId="21" xfId="180" applyNumberFormat="1" applyFont="1" applyBorder="1" applyAlignment="1" applyProtection="1">
      <alignment vertical="center" wrapText="1"/>
      <protection locked="0"/>
    </xf>
    <xf numFmtId="3" fontId="25" fillId="0" borderId="19" xfId="180" applyNumberFormat="1" applyFont="1" applyBorder="1" applyAlignment="1" applyProtection="1">
      <alignment horizontal="right" vertical="center" wrapText="1"/>
      <protection locked="0"/>
    </xf>
    <xf numFmtId="49" fontId="25" fillId="0" borderId="0" xfId="180" applyNumberFormat="1" applyFont="1" applyAlignment="1" applyProtection="1">
      <alignment vertical="center" wrapText="1"/>
      <protection locked="0"/>
    </xf>
    <xf numFmtId="0" fontId="24" fillId="0" borderId="20" xfId="180" applyFont="1" applyBorder="1" applyAlignment="1">
      <alignment horizontal="right" vertical="center" wrapText="1"/>
      <protection/>
    </xf>
    <xf numFmtId="49" fontId="0" fillId="0" borderId="22" xfId="181" applyNumberFormat="1" applyFont="1" applyBorder="1" applyAlignment="1">
      <alignment vertical="center" wrapText="1"/>
      <protection/>
    </xf>
    <xf numFmtId="49" fontId="0" fillId="0" borderId="23" xfId="181" applyNumberFormat="1" applyFont="1" applyBorder="1" applyAlignment="1">
      <alignment vertical="center" wrapText="1"/>
      <protection/>
    </xf>
    <xf numFmtId="3" fontId="24" fillId="0" borderId="0" xfId="180" applyNumberFormat="1" applyFont="1" applyAlignment="1">
      <alignment horizontal="center" wrapText="1"/>
      <protection/>
    </xf>
    <xf numFmtId="3" fontId="21" fillId="0" borderId="0" xfId="180" applyNumberFormat="1" applyFont="1" applyAlignment="1" applyProtection="1">
      <alignment horizontal="center" vertical="center" wrapText="1"/>
      <protection locked="0"/>
    </xf>
    <xf numFmtId="0" fontId="23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44" fillId="0" borderId="0" xfId="0" applyFont="1"/>
    <xf numFmtId="49" fontId="24" fillId="0" borderId="19" xfId="180" applyNumberFormat="1" applyFont="1" applyBorder="1" applyAlignment="1">
      <alignment horizontal="center" vertical="center" wrapText="1"/>
      <protection/>
    </xf>
    <xf numFmtId="0" fontId="24" fillId="0" borderId="19" xfId="180" applyFont="1" applyBorder="1" applyAlignment="1" applyProtection="1">
      <alignment horizontal="center" wrapText="1"/>
      <protection locked="0"/>
    </xf>
  </cellXfs>
  <cellStyles count="19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20% - Accent1" xfId="20" builtinId="30"/>
    <cellStyle name="20% - Accent1 2 2" xfId="21"/>
    <cellStyle name="20% - Accent1 2 2 2" xfId="22"/>
    <cellStyle name="20% - Accent1 2 2 3" xfId="23"/>
    <cellStyle name="20% - Accent2" xfId="24" builtinId="34"/>
    <cellStyle name="20% - Accent2 2 2" xfId="25"/>
    <cellStyle name="20% - Accent2 2 2 2" xfId="26"/>
    <cellStyle name="20% - Accent2 2 2 3" xfId="27"/>
    <cellStyle name="20% - Accent3" xfId="28" builtinId="38"/>
    <cellStyle name="20% - Accent3 2 2" xfId="29"/>
    <cellStyle name="20% - Accent3 2 2 2" xfId="30"/>
    <cellStyle name="20% - Accent3 2 2 3" xfId="31"/>
    <cellStyle name="20% - Accent4" xfId="32" builtinId="42"/>
    <cellStyle name="20% - Accent4 2 2" xfId="33"/>
    <cellStyle name="20% - Accent4 2 2 2" xfId="34"/>
    <cellStyle name="20% - Accent4 2 2 3" xfId="35"/>
    <cellStyle name="20% - Accent5" xfId="36" builtinId="46"/>
    <cellStyle name="20% - Accent5 2 2" xfId="37"/>
    <cellStyle name="20% - Accent5 2 2 2" xfId="38"/>
    <cellStyle name="20% - Accent5 2 2 3" xfId="39"/>
    <cellStyle name="20% - Accent6" xfId="40" builtinId="50"/>
    <cellStyle name="20% - Accent6 2 2" xfId="41"/>
    <cellStyle name="20% - Accent6 2 2 2" xfId="42"/>
    <cellStyle name="20% - Accent6 2 2 3" xfId="43"/>
    <cellStyle name="20% no 1. izcēluma" xfId="44"/>
    <cellStyle name="20% no 2. izcēluma" xfId="45"/>
    <cellStyle name="20% no 3. izcēluma" xfId="46"/>
    <cellStyle name="20% no 4. izcēluma" xfId="47"/>
    <cellStyle name="20% no 5. izcēluma" xfId="48"/>
    <cellStyle name="20% no 6. izcēluma" xfId="49"/>
    <cellStyle name="40% - Accent1" xfId="50" builtinId="31"/>
    <cellStyle name="40% - Accent1 2 2" xfId="51"/>
    <cellStyle name="40% - Accent1 2 2 2" xfId="52"/>
    <cellStyle name="40% - Accent1 2 2 3" xfId="53"/>
    <cellStyle name="40% - Accent2" xfId="54" builtinId="35"/>
    <cellStyle name="40% - Accent2 2 2" xfId="55"/>
    <cellStyle name="40% - Accent2 2 2 2" xfId="56"/>
    <cellStyle name="40% - Accent2 2 2 3" xfId="57"/>
    <cellStyle name="40% - Accent3" xfId="58" builtinId="39"/>
    <cellStyle name="40% - Accent3 2 2" xfId="59"/>
    <cellStyle name="40% - Accent3 2 2 2" xfId="60"/>
    <cellStyle name="40% - Accent3 2 2 3" xfId="61"/>
    <cellStyle name="40% - Accent4" xfId="62" builtinId="43"/>
    <cellStyle name="40% - Accent4 2 2" xfId="63"/>
    <cellStyle name="40% - Accent4 2 2 2" xfId="64"/>
    <cellStyle name="40% - Accent4 2 2 3" xfId="65"/>
    <cellStyle name="40% - Accent5" xfId="66" builtinId="47"/>
    <cellStyle name="40% - Accent5 2 2" xfId="67"/>
    <cellStyle name="40% - Accent5 2 2 2" xfId="68"/>
    <cellStyle name="40% - Accent5 2 2 3" xfId="69"/>
    <cellStyle name="40% - Accent6" xfId="70" builtinId="51"/>
    <cellStyle name="40% - Accent6 2 2" xfId="71"/>
    <cellStyle name="40% - Accent6 2 2 2" xfId="72"/>
    <cellStyle name="40% - Accent6 2 2 3" xfId="73"/>
    <cellStyle name="40% no 1. izcēluma" xfId="74"/>
    <cellStyle name="40% no 2. izcēluma" xfId="75"/>
    <cellStyle name="40% no 3. izcēluma" xfId="76"/>
    <cellStyle name="40% no 4. izcēluma" xfId="77"/>
    <cellStyle name="40% no 5. izcēluma" xfId="78"/>
    <cellStyle name="40% no 6. izcēluma" xfId="79"/>
    <cellStyle name="60% - Accent1" xfId="80" builtinId="32"/>
    <cellStyle name="60% - Accent1 2 2" xfId="81"/>
    <cellStyle name="60% - Accent2" xfId="82" builtinId="36"/>
    <cellStyle name="60% - Accent2 2 2" xfId="83"/>
    <cellStyle name="60% - Accent3" xfId="84" builtinId="40"/>
    <cellStyle name="60% - Accent3 2 2" xfId="85"/>
    <cellStyle name="60% - Accent4" xfId="86" builtinId="44"/>
    <cellStyle name="60% - Accent4 2 2" xfId="87"/>
    <cellStyle name="60% - Accent5" xfId="88" builtinId="48"/>
    <cellStyle name="60% - Accent5 2 2" xfId="89"/>
    <cellStyle name="60% - Accent6" xfId="90" builtinId="52"/>
    <cellStyle name="60% - Accent6 2 2" xfId="91"/>
    <cellStyle name="60% no 1. izcēluma" xfId="92"/>
    <cellStyle name="60% no 2. izcēluma" xfId="93"/>
    <cellStyle name="60% no 3. izcēluma" xfId="94"/>
    <cellStyle name="60% no 4. izcēluma" xfId="95"/>
    <cellStyle name="60% no 5. izcēluma" xfId="96"/>
    <cellStyle name="60% no 6. izcēluma" xfId="97"/>
    <cellStyle name="Accent1" xfId="98" builtinId="29"/>
    <cellStyle name="Accent1 2 2" xfId="99"/>
    <cellStyle name="Accent2" xfId="100" builtinId="33"/>
    <cellStyle name="Accent2 2 2" xfId="101"/>
    <cellStyle name="Accent3" xfId="102" builtinId="37"/>
    <cellStyle name="Accent3 2 2" xfId="103"/>
    <cellStyle name="Accent4" xfId="104" builtinId="41"/>
    <cellStyle name="Accent4 2 2" xfId="105"/>
    <cellStyle name="Accent5" xfId="106" builtinId="45"/>
    <cellStyle name="Accent5 2 2" xfId="107"/>
    <cellStyle name="Accent6" xfId="108" builtinId="49"/>
    <cellStyle name="Accent6 2 2" xfId="109"/>
    <cellStyle name="Aprēķināšana" xfId="110"/>
    <cellStyle name="Bad" xfId="111" builtinId="27"/>
    <cellStyle name="Bad 2 2" xfId="112"/>
    <cellStyle name="Brīdinājuma teksts" xfId="113"/>
    <cellStyle name="Calculation" xfId="114" builtinId="22"/>
    <cellStyle name="Calculation 2 2" xfId="115"/>
    <cellStyle name="Check Cell" xfId="116" builtinId="23"/>
    <cellStyle name="Check Cell 2 2" xfId="117"/>
    <cellStyle name="Currency 2" xfId="118"/>
    <cellStyle name="Currency 2 2" xfId="119"/>
    <cellStyle name="Explanatory Text" xfId="120" builtinId="53"/>
    <cellStyle name="Explanatory Text 2 2" xfId="121"/>
    <cellStyle name="Good" xfId="122" builtinId="26"/>
    <cellStyle name="Good 2 2" xfId="123"/>
    <cellStyle name="Heading 1" xfId="124" builtinId="16"/>
    <cellStyle name="Heading 1 2 2" xfId="125"/>
    <cellStyle name="Heading 2" xfId="126" builtinId="17"/>
    <cellStyle name="Heading 2 2 2" xfId="127"/>
    <cellStyle name="Heading 3" xfId="128" builtinId="18"/>
    <cellStyle name="Heading 3 2 2" xfId="129"/>
    <cellStyle name="Heading 4" xfId="130" builtinId="19"/>
    <cellStyle name="Heading 4 2 2" xfId="131"/>
    <cellStyle name="Ievade" xfId="132"/>
    <cellStyle name="Input" xfId="133" builtinId="20"/>
    <cellStyle name="Input 2 2" xfId="134"/>
    <cellStyle name="Izcēlums (1. veids)" xfId="135"/>
    <cellStyle name="Izcēlums (2. veids)" xfId="136"/>
    <cellStyle name="Izcēlums (3. veids)" xfId="137"/>
    <cellStyle name="Izcēlums (4. veids)" xfId="138"/>
    <cellStyle name="Izcēlums (5. veids)" xfId="139"/>
    <cellStyle name="Izcēlums (6. veids)" xfId="140"/>
    <cellStyle name="Izvade" xfId="141"/>
    <cellStyle name="Kopsumma" xfId="142"/>
    <cellStyle name="Labs" xfId="143"/>
    <cellStyle name="Linked Cell" xfId="144" builtinId="24"/>
    <cellStyle name="Linked Cell 2 2" xfId="145"/>
    <cellStyle name="Neitrāls" xfId="146"/>
    <cellStyle name="Neutral" xfId="147" builtinId="28"/>
    <cellStyle name="Neutral 2 2" xfId="148"/>
    <cellStyle name="Normal 10" xfId="149"/>
    <cellStyle name="Normal 10 2" xfId="150"/>
    <cellStyle name="Normal 11" xfId="151"/>
    <cellStyle name="Normal 11 2" xfId="152"/>
    <cellStyle name="Normal 12" xfId="153"/>
    <cellStyle name="Normal 12 2" xfId="154"/>
    <cellStyle name="Normal 13" xfId="155"/>
    <cellStyle name="Normal 13 2" xfId="156"/>
    <cellStyle name="Normal 14" xfId="157"/>
    <cellStyle name="Normal 14 2" xfId="158"/>
    <cellStyle name="Normal 15" xfId="159"/>
    <cellStyle name="Normal 15 2" xfId="160"/>
    <cellStyle name="Normal 16" xfId="161"/>
    <cellStyle name="Normal 16 2" xfId="162"/>
    <cellStyle name="Normal 18" xfId="163"/>
    <cellStyle name="Normal 2" xfId="164"/>
    <cellStyle name="Normal 2 2" xfId="165"/>
    <cellStyle name="Normal 20" xfId="166"/>
    <cellStyle name="Normal 20 2" xfId="167"/>
    <cellStyle name="Normal 21" xfId="168"/>
    <cellStyle name="Normal 21 2" xfId="169"/>
    <cellStyle name="Normal 3 2" xfId="170"/>
    <cellStyle name="Normal 4" xfId="171"/>
    <cellStyle name="Normal 4 2" xfId="172"/>
    <cellStyle name="Normal 4_7-4" xfId="173"/>
    <cellStyle name="Normal 5" xfId="174"/>
    <cellStyle name="Normal 5 2" xfId="175"/>
    <cellStyle name="Normal 8" xfId="176"/>
    <cellStyle name="Normal 8 2" xfId="177"/>
    <cellStyle name="Normal 9" xfId="178"/>
    <cellStyle name="Normal 9 2" xfId="179"/>
    <cellStyle name="Normal_Pamatformas" xfId="180"/>
    <cellStyle name="Normal_Veidlapa_2008_oktobris_(5.piel)_(2)" xfId="181"/>
    <cellStyle name="Nosaukums" xfId="182"/>
    <cellStyle name="Note" xfId="183" builtinId="10"/>
    <cellStyle name="Note 2 2" xfId="184"/>
    <cellStyle name="Output" xfId="185" builtinId="21"/>
    <cellStyle name="Output 2 2" xfId="186"/>
    <cellStyle name="Parastais_FMLikp01_p05_221205_pap_afp_makp" xfId="187"/>
    <cellStyle name="Paskaidrojošs teksts" xfId="188"/>
    <cellStyle name="Pārbaudes šūna" xfId="189"/>
    <cellStyle name="Piezīme" xfId="190"/>
    <cellStyle name="Saistīta šūna" xfId="191"/>
    <cellStyle name="Slikts" xfId="192"/>
    <cellStyle name="Style 1" xfId="193"/>
    <cellStyle name="Title" xfId="194" builtinId="15"/>
    <cellStyle name="Title 2 2" xfId="195"/>
    <cellStyle name="Total" xfId="196" builtinId="25"/>
    <cellStyle name="Total 2 2" xfId="197"/>
    <cellStyle name="V?st." xfId="198"/>
    <cellStyle name="Virsraksts 1" xfId="199"/>
    <cellStyle name="Virsraksts 2" xfId="200"/>
    <cellStyle name="Virsraksts 3" xfId="201"/>
    <cellStyle name="Virsraksts 4" xfId="202"/>
    <cellStyle name="Warning Text" xfId="203" builtinId="11"/>
    <cellStyle name="Warning Text 2 2" xfId="20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144"/>
  <sheetViews>
    <sheetView tabSelected="1" workbookViewId="0" topLeftCell="A1">
      <selection pane="topLeft" activeCell="AI10" sqref="AI10"/>
    </sheetView>
  </sheetViews>
  <sheetFormatPr defaultRowHeight="15.75"/>
  <cols>
    <col min="1" max="1" width="9.142857142857142" style="1" customWidth="1"/>
    <col min="2" max="2" width="20.285714285714285" style="3" customWidth="1"/>
    <col min="3" max="3" width="25" style="3" customWidth="1"/>
    <col min="4" max="5" width="12.285714285714286" style="3" customWidth="1"/>
    <col min="6" max="12" width="13.285714285714286" style="2" customWidth="1"/>
    <col min="13" max="16" width="0" style="2" hidden="1" customWidth="1"/>
    <col min="17" max="17" width="0" style="3" hidden="1" customWidth="1"/>
    <col min="18" max="19" width="0" style="2" hidden="1" customWidth="1"/>
    <col min="20" max="20" width="0" style="3" hidden="1" customWidth="1"/>
    <col min="21" max="33" width="0" style="2" hidden="1" customWidth="1"/>
    <col min="34" max="244" width="9.142857142857142" style="2" customWidth="1"/>
  </cols>
  <sheetData>
    <row r="2" spans="12:12" ht="15.75">
      <c r="L2" s="44" t="s">
        <v>271</v>
      </c>
    </row>
    <row r="3" spans="12:12" ht="15.75">
      <c r="L3" s="45" t="s">
        <v>316</v>
      </c>
    </row>
    <row r="4" spans="12:12" ht="15.75">
      <c r="L4" s="45" t="s">
        <v>317</v>
      </c>
    </row>
    <row r="5" spans="12:12" ht="15.75">
      <c r="L5" s="45" t="s">
        <v>295</v>
      </c>
    </row>
    <row r="8" spans="3:3" ht="15.75">
      <c r="C8" s="43" t="s">
        <v>272</v>
      </c>
    </row>
    <row r="10" spans="2:12" ht="15.75" customHeight="1">
      <c r="B10" s="47" t="s">
        <v>1</v>
      </c>
      <c r="C10" s="47" t="s">
        <v>2</v>
      </c>
      <c r="D10" s="47" t="s">
        <v>3</v>
      </c>
      <c r="E10" s="4"/>
      <c r="F10" s="48" t="s">
        <v>269</v>
      </c>
      <c r="G10" s="48"/>
      <c r="H10" s="48"/>
      <c r="I10" s="48"/>
      <c r="J10" s="48"/>
      <c r="K10" s="48"/>
      <c r="L10" s="48"/>
    </row>
    <row r="11" spans="1:20" s="10" customFormat="1" ht="45.75" customHeight="1">
      <c r="A11" s="5"/>
      <c r="B11" s="47"/>
      <c r="C11" s="47"/>
      <c r="D11" s="47"/>
      <c r="E11" s="4"/>
      <c r="F11" s="6">
        <v>2023</v>
      </c>
      <c r="G11" s="6">
        <v>2024</v>
      </c>
      <c r="H11" s="6">
        <v>2025</v>
      </c>
      <c r="I11" s="6">
        <v>2026</v>
      </c>
      <c r="J11" s="6">
        <v>2027</v>
      </c>
      <c r="K11" s="6" t="s">
        <v>4</v>
      </c>
      <c r="L11" s="7" t="s">
        <v>140</v>
      </c>
      <c r="M11" s="8"/>
      <c r="N11" s="8"/>
      <c r="O11" s="8"/>
      <c r="P11" s="8"/>
      <c r="Q11" s="9"/>
      <c r="R11" s="8"/>
      <c r="S11" s="8"/>
      <c r="T11" s="9"/>
    </row>
    <row r="12" spans="1:20" s="15" customFormat="1" ht="12.75">
      <c r="A12" s="11"/>
      <c r="B12" s="12" t="s">
        <v>5</v>
      </c>
      <c r="C12" s="12" t="s">
        <v>6</v>
      </c>
      <c r="D12" s="12" t="s">
        <v>7</v>
      </c>
      <c r="E12" s="12"/>
      <c r="F12" s="13">
        <v>2</v>
      </c>
      <c r="G12" s="13">
        <v>3</v>
      </c>
      <c r="H12" s="13">
        <v>4</v>
      </c>
      <c r="I12" s="13">
        <v>5</v>
      </c>
      <c r="J12" s="13">
        <v>6</v>
      </c>
      <c r="K12" s="13">
        <v>8</v>
      </c>
      <c r="L12" s="13">
        <v>9</v>
      </c>
      <c r="M12" s="14"/>
      <c r="N12" s="14"/>
      <c r="O12" s="14"/>
      <c r="P12" s="14"/>
      <c r="Q12" s="14"/>
      <c r="R12" s="14"/>
      <c r="S12" s="14"/>
      <c r="T12" s="14"/>
    </row>
    <row r="13" spans="1:20" s="15" customFormat="1" ht="12.75">
      <c r="A13" s="11"/>
      <c r="B13" s="16"/>
      <c r="C13" s="16"/>
      <c r="D13" s="16"/>
      <c r="E13" s="16"/>
      <c r="M13" s="14"/>
      <c r="N13" s="14"/>
      <c r="O13" s="14"/>
      <c r="P13" s="14"/>
      <c r="Q13" s="14"/>
      <c r="R13" s="14"/>
      <c r="S13" s="14"/>
      <c r="T13" s="14"/>
    </row>
    <row r="14" spans="1:20" s="15" customFormat="1" ht="15.75" customHeight="1">
      <c r="A14" s="11"/>
      <c r="B14" s="17" t="s">
        <v>8</v>
      </c>
      <c r="C14" s="18"/>
      <c r="D14" s="18"/>
      <c r="E14" s="1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34" s="15" customFormat="1" ht="46.5" customHeight="1">
      <c r="A15" s="11"/>
      <c r="B15" s="20" t="s">
        <v>9</v>
      </c>
      <c r="C15" s="20" t="s">
        <v>267</v>
      </c>
      <c r="D15" s="19" t="s">
        <v>39</v>
      </c>
      <c r="E15" s="19" t="s">
        <v>268</v>
      </c>
      <c r="F15" s="21">
        <v>4420</v>
      </c>
      <c r="G15" s="21">
        <v>4408</v>
      </c>
      <c r="H15" s="21">
        <v>4403</v>
      </c>
      <c r="I15" s="21">
        <v>2111</v>
      </c>
      <c r="J15" s="21">
        <v>0</v>
      </c>
      <c r="K15" s="21">
        <v>0</v>
      </c>
      <c r="L15" s="22">
        <f>F15+G15+H15+I15+J15+K15</f>
        <v>15342</v>
      </c>
      <c r="M15" s="14"/>
      <c r="N15" s="14"/>
      <c r="O15" s="14"/>
      <c r="P15" s="14"/>
      <c r="Q15" s="14"/>
      <c r="R15" s="14"/>
      <c r="S15" s="14"/>
      <c r="T15" s="14"/>
      <c r="AH15" s="41"/>
    </row>
    <row r="16" spans="1:20" s="15" customFormat="1" ht="45.75" customHeight="1">
      <c r="A16" s="11"/>
      <c r="B16" s="20" t="s">
        <v>9</v>
      </c>
      <c r="C16" s="20" t="s">
        <v>24</v>
      </c>
      <c r="D16" s="19" t="s">
        <v>25</v>
      </c>
      <c r="E16" s="19" t="s">
        <v>172</v>
      </c>
      <c r="F16" s="21">
        <v>19766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f>F16+G16+H16+I16+J16+K16</f>
        <v>19766</v>
      </c>
      <c r="M16" s="14"/>
      <c r="N16" s="14"/>
      <c r="O16" s="14"/>
      <c r="P16" s="14"/>
      <c r="Q16" s="14"/>
      <c r="R16" s="14"/>
      <c r="S16" s="14"/>
      <c r="T16" s="14"/>
    </row>
    <row r="17" spans="1:20" s="15" customFormat="1" ht="48.75" customHeight="1">
      <c r="A17" s="11"/>
      <c r="B17" s="20" t="s">
        <v>9</v>
      </c>
      <c r="C17" s="20" t="s">
        <v>266</v>
      </c>
      <c r="D17" s="19" t="s">
        <v>40</v>
      </c>
      <c r="E17" s="19" t="s">
        <v>235</v>
      </c>
      <c r="F17" s="21">
        <v>666</v>
      </c>
      <c r="G17" s="21">
        <v>658</v>
      </c>
      <c r="H17" s="21">
        <v>650</v>
      </c>
      <c r="I17" s="21">
        <v>641</v>
      </c>
      <c r="J17" s="21">
        <v>637</v>
      </c>
      <c r="K17" s="21">
        <v>581</v>
      </c>
      <c r="L17" s="22">
        <f t="shared" si="0" ref="L17:L62">=SUM(F17:K17)</f>
        <v>3833</v>
      </c>
      <c r="M17" s="14"/>
      <c r="N17" s="14"/>
      <c r="O17" s="14"/>
      <c r="P17" s="14"/>
      <c r="Q17" s="14"/>
      <c r="R17" s="14"/>
      <c r="S17" s="14"/>
      <c r="T17" s="14"/>
    </row>
    <row r="18" spans="1:20" s="15" customFormat="1" ht="86.25" customHeight="1">
      <c r="A18" s="11"/>
      <c r="B18" s="20" t="s">
        <v>9</v>
      </c>
      <c r="C18" s="20" t="s">
        <v>296</v>
      </c>
      <c r="D18" s="19" t="s">
        <v>15</v>
      </c>
      <c r="E18" s="19" t="s">
        <v>265</v>
      </c>
      <c r="F18" s="21">
        <v>7870</v>
      </c>
      <c r="G18" s="21">
        <v>8392</v>
      </c>
      <c r="H18" s="21">
        <v>8132</v>
      </c>
      <c r="I18" s="21">
        <v>7878</v>
      </c>
      <c r="J18" s="21">
        <v>7622</v>
      </c>
      <c r="K18" s="21">
        <f>7368+3554</f>
        <v>10922</v>
      </c>
      <c r="L18" s="22">
        <f t="shared" si="0"/>
        <v>50816</v>
      </c>
      <c r="M18" s="14"/>
      <c r="N18" s="14"/>
      <c r="O18" s="14"/>
      <c r="P18" s="14"/>
      <c r="Q18" s="14"/>
      <c r="R18" s="14"/>
      <c r="S18" s="14"/>
      <c r="T18" s="14"/>
    </row>
    <row r="19" spans="1:20" s="15" customFormat="1" ht="68.25" customHeight="1">
      <c r="A19" s="11"/>
      <c r="B19" s="20" t="s">
        <v>9</v>
      </c>
      <c r="C19" s="20" t="s">
        <v>264</v>
      </c>
      <c r="D19" s="19" t="s">
        <v>12</v>
      </c>
      <c r="E19" s="19" t="s">
        <v>265</v>
      </c>
      <c r="F19" s="21">
        <v>2309</v>
      </c>
      <c r="G19" s="21">
        <v>2463</v>
      </c>
      <c r="H19" s="21">
        <v>2388</v>
      </c>
      <c r="I19" s="21">
        <v>2313</v>
      </c>
      <c r="J19" s="21">
        <v>2238</v>
      </c>
      <c r="K19" s="21">
        <f>2166+1041</f>
        <v>3207</v>
      </c>
      <c r="L19" s="22">
        <f t="shared" si="0"/>
        <v>14918</v>
      </c>
      <c r="M19" s="14"/>
      <c r="N19" s="14"/>
      <c r="O19" s="14"/>
      <c r="P19" s="14"/>
      <c r="Q19" s="14"/>
      <c r="R19" s="14"/>
      <c r="S19" s="14"/>
      <c r="T19" s="14"/>
    </row>
    <row r="20" spans="1:20" s="15" customFormat="1" ht="62.25" customHeight="1">
      <c r="A20" s="11"/>
      <c r="B20" s="20" t="s">
        <v>9</v>
      </c>
      <c r="C20" s="20" t="s">
        <v>262</v>
      </c>
      <c r="D20" s="19" t="s">
        <v>11</v>
      </c>
      <c r="E20" s="19" t="s">
        <v>263</v>
      </c>
      <c r="F20" s="21">
        <v>7507</v>
      </c>
      <c r="G20" s="21">
        <v>8031</v>
      </c>
      <c r="H20" s="21">
        <v>7807</v>
      </c>
      <c r="I20" s="21">
        <v>7567</v>
      </c>
      <c r="J20" s="21">
        <v>7327</v>
      </c>
      <c r="K20" s="21">
        <f>7093+6849+5</f>
        <v>13947</v>
      </c>
      <c r="L20" s="22">
        <f t="shared" si="0"/>
        <v>52186</v>
      </c>
      <c r="M20" s="14"/>
      <c r="N20" s="14"/>
      <c r="O20" s="14"/>
      <c r="P20" s="14"/>
      <c r="Q20" s="14"/>
      <c r="R20" s="14"/>
      <c r="S20" s="14"/>
      <c r="T20" s="14"/>
    </row>
    <row r="21" spans="1:20" s="15" customFormat="1" ht="56.25" customHeight="1">
      <c r="A21" s="11"/>
      <c r="B21" s="20" t="s">
        <v>9</v>
      </c>
      <c r="C21" s="20" t="s">
        <v>260</v>
      </c>
      <c r="D21" s="19" t="s">
        <v>10</v>
      </c>
      <c r="E21" s="19" t="s">
        <v>261</v>
      </c>
      <c r="F21" s="21">
        <v>6287</v>
      </c>
      <c r="G21" s="21">
        <v>6743</v>
      </c>
      <c r="H21" s="21">
        <v>6538</v>
      </c>
      <c r="I21" s="21">
        <v>6338</v>
      </c>
      <c r="J21" s="21">
        <v>6136</v>
      </c>
      <c r="K21" s="21">
        <f>5940+5736+7</f>
        <v>11683</v>
      </c>
      <c r="L21" s="22">
        <f t="shared" si="0"/>
        <v>43725</v>
      </c>
      <c r="M21" s="14"/>
      <c r="N21" s="14"/>
      <c r="O21" s="14"/>
      <c r="P21" s="14"/>
      <c r="Q21" s="14"/>
      <c r="R21" s="14"/>
      <c r="S21" s="14"/>
      <c r="T21" s="14"/>
    </row>
    <row r="22" spans="1:20" s="15" customFormat="1" ht="64.5" customHeight="1">
      <c r="A22" s="11"/>
      <c r="B22" s="20" t="s">
        <v>9</v>
      </c>
      <c r="C22" s="20" t="s">
        <v>259</v>
      </c>
      <c r="D22" s="19" t="s">
        <v>14</v>
      </c>
      <c r="E22" s="19" t="s">
        <v>174</v>
      </c>
      <c r="F22" s="21">
        <v>2517</v>
      </c>
      <c r="G22" s="21">
        <v>2524</v>
      </c>
      <c r="H22" s="21">
        <v>622</v>
      </c>
      <c r="I22" s="21">
        <v>0</v>
      </c>
      <c r="J22" s="21">
        <v>0</v>
      </c>
      <c r="K22" s="21">
        <v>0</v>
      </c>
      <c r="L22" s="22">
        <f t="shared" si="0"/>
        <v>5663</v>
      </c>
      <c r="M22" s="14"/>
      <c r="N22" s="14"/>
      <c r="O22" s="14"/>
      <c r="P22" s="14"/>
      <c r="Q22" s="14"/>
      <c r="R22" s="14"/>
      <c r="S22" s="14"/>
      <c r="T22" s="14"/>
    </row>
    <row r="23" spans="1:34" s="15" customFormat="1" ht="64.5" customHeight="1">
      <c r="A23" s="11"/>
      <c r="B23" s="20" t="s">
        <v>9</v>
      </c>
      <c r="C23" s="20" t="s">
        <v>297</v>
      </c>
      <c r="D23" s="19" t="s">
        <v>36</v>
      </c>
      <c r="E23" s="19" t="s">
        <v>258</v>
      </c>
      <c r="F23" s="21">
        <v>14107</v>
      </c>
      <c r="G23" s="21">
        <v>13638</v>
      </c>
      <c r="H23" s="21">
        <v>13155</v>
      </c>
      <c r="I23" s="21">
        <v>12676</v>
      </c>
      <c r="J23" s="21">
        <v>12198</v>
      </c>
      <c r="K23" s="21">
        <f>11722+11241+10774</f>
        <v>33737</v>
      </c>
      <c r="L23" s="22">
        <f t="shared" si="0"/>
        <v>99511</v>
      </c>
      <c r="M23" s="14"/>
      <c r="N23" s="14"/>
      <c r="O23" s="14"/>
      <c r="P23" s="14"/>
      <c r="Q23" s="14"/>
      <c r="R23" s="14"/>
      <c r="S23" s="14"/>
      <c r="T23" s="14"/>
      <c r="AH23" s="41"/>
    </row>
    <row r="24" spans="1:20" s="15" customFormat="1" ht="101.25" customHeight="1">
      <c r="A24" s="11"/>
      <c r="B24" s="20" t="s">
        <v>9</v>
      </c>
      <c r="C24" s="20" t="s">
        <v>298</v>
      </c>
      <c r="D24" s="19" t="s">
        <v>28</v>
      </c>
      <c r="E24" s="19" t="s">
        <v>257</v>
      </c>
      <c r="F24" s="21">
        <v>33784</v>
      </c>
      <c r="G24" s="21">
        <v>35944</v>
      </c>
      <c r="H24" s="21">
        <v>34817</v>
      </c>
      <c r="I24" s="21">
        <v>33706</v>
      </c>
      <c r="J24" s="21">
        <v>32591</v>
      </c>
      <c r="K24" s="21">
        <v>23726</v>
      </c>
      <c r="L24" s="22">
        <f t="shared" si="0"/>
        <v>194568</v>
      </c>
      <c r="M24" s="14"/>
      <c r="N24" s="14"/>
      <c r="O24" s="14"/>
      <c r="P24" s="14"/>
      <c r="Q24" s="14"/>
      <c r="R24" s="14"/>
      <c r="S24" s="14"/>
      <c r="T24" s="14"/>
    </row>
    <row r="25" spans="1:20" s="15" customFormat="1" ht="88.5" customHeight="1">
      <c r="A25" s="11"/>
      <c r="B25" s="20" t="s">
        <v>9</v>
      </c>
      <c r="C25" s="20" t="s">
        <v>29</v>
      </c>
      <c r="D25" s="19" t="s">
        <v>30</v>
      </c>
      <c r="E25" s="19" t="s">
        <v>256</v>
      </c>
      <c r="F25" s="21">
        <v>27104</v>
      </c>
      <c r="G25" s="21">
        <v>27970</v>
      </c>
      <c r="H25" s="21">
        <v>27040</v>
      </c>
      <c r="I25" s="21">
        <v>19686</v>
      </c>
      <c r="J25" s="21">
        <v>0</v>
      </c>
      <c r="K25" s="21">
        <v>0</v>
      </c>
      <c r="L25" s="22">
        <f t="shared" si="0"/>
        <v>101800</v>
      </c>
      <c r="M25" s="14"/>
      <c r="N25" s="14"/>
      <c r="O25" s="14"/>
      <c r="P25" s="14"/>
      <c r="Q25" s="14"/>
      <c r="R25" s="14"/>
      <c r="S25" s="14"/>
      <c r="T25" s="14"/>
    </row>
    <row r="26" spans="1:20" s="15" customFormat="1" ht="53.25" customHeight="1">
      <c r="A26" s="11"/>
      <c r="B26" s="20" t="s">
        <v>9</v>
      </c>
      <c r="C26" s="20" t="s">
        <v>253</v>
      </c>
      <c r="D26" s="19" t="s">
        <v>37</v>
      </c>
      <c r="E26" s="19" t="s">
        <v>254</v>
      </c>
      <c r="F26" s="21">
        <v>12279</v>
      </c>
      <c r="G26" s="21">
        <v>13435</v>
      </c>
      <c r="H26" s="21">
        <v>13052</v>
      </c>
      <c r="I26" s="21">
        <v>12677</v>
      </c>
      <c r="J26" s="21">
        <v>12302</v>
      </c>
      <c r="K26" s="21">
        <f>11947+11563+24604</f>
        <v>48114</v>
      </c>
      <c r="L26" s="22">
        <f t="shared" si="0"/>
        <v>111859</v>
      </c>
      <c r="M26" s="14"/>
      <c r="N26" s="14"/>
      <c r="O26" s="14"/>
      <c r="P26" s="14"/>
      <c r="Q26" s="14"/>
      <c r="R26" s="14"/>
      <c r="S26" s="14"/>
      <c r="T26" s="14"/>
    </row>
    <row r="27" spans="1:20" s="15" customFormat="1" ht="63.75">
      <c r="A27" s="11"/>
      <c r="B27" s="20" t="s">
        <v>9</v>
      </c>
      <c r="C27" s="20" t="s">
        <v>250</v>
      </c>
      <c r="D27" s="19" t="s">
        <v>251</v>
      </c>
      <c r="E27" s="19" t="s">
        <v>252</v>
      </c>
      <c r="F27" s="21">
        <v>12881</v>
      </c>
      <c r="G27" s="21">
        <v>14819</v>
      </c>
      <c r="H27" s="21">
        <v>14445</v>
      </c>
      <c r="I27" s="21">
        <v>14084</v>
      </c>
      <c r="J27" s="21">
        <v>13723</v>
      </c>
      <c r="K27" s="21">
        <f>13409+13035+86058</f>
        <v>112502</v>
      </c>
      <c r="L27" s="22">
        <f t="shared" si="0"/>
        <v>182454</v>
      </c>
      <c r="M27" s="14"/>
      <c r="N27" s="14"/>
      <c r="O27" s="14"/>
      <c r="P27" s="14"/>
      <c r="Q27" s="14"/>
      <c r="R27" s="14"/>
      <c r="S27" s="14"/>
      <c r="T27" s="14"/>
    </row>
    <row r="28" spans="1:20" s="15" customFormat="1" ht="76.5">
      <c r="A28" s="11"/>
      <c r="B28" s="20" t="s">
        <v>9</v>
      </c>
      <c r="C28" s="20" t="s">
        <v>248</v>
      </c>
      <c r="D28" s="19" t="s">
        <v>16</v>
      </c>
      <c r="E28" s="19" t="s">
        <v>249</v>
      </c>
      <c r="F28" s="21">
        <v>19144</v>
      </c>
      <c r="G28" s="21">
        <v>21344</v>
      </c>
      <c r="H28" s="21">
        <v>20739</v>
      </c>
      <c r="I28" s="21">
        <v>20147</v>
      </c>
      <c r="J28" s="21">
        <v>19555</v>
      </c>
      <c r="K28" s="21">
        <f>18998+18391+43299</f>
        <v>80688</v>
      </c>
      <c r="L28" s="22">
        <f t="shared" si="0"/>
        <v>181617</v>
      </c>
      <c r="M28" s="14"/>
      <c r="N28" s="14"/>
      <c r="O28" s="14"/>
      <c r="P28" s="14"/>
      <c r="Q28" s="14"/>
      <c r="R28" s="14"/>
      <c r="S28" s="14"/>
      <c r="T28" s="14"/>
    </row>
    <row r="29" spans="1:20" s="15" customFormat="1" ht="76.5">
      <c r="A29" s="11"/>
      <c r="B29" s="20" t="s">
        <v>9</v>
      </c>
      <c r="C29" s="20" t="s">
        <v>246</v>
      </c>
      <c r="D29" s="19" t="s">
        <v>41</v>
      </c>
      <c r="E29" s="19" t="s">
        <v>247</v>
      </c>
      <c r="F29" s="21">
        <v>17892</v>
      </c>
      <c r="G29" s="21">
        <v>18324</v>
      </c>
      <c r="H29" s="21">
        <v>17729</v>
      </c>
      <c r="I29" s="21">
        <v>17140</v>
      </c>
      <c r="J29" s="21">
        <v>8353</v>
      </c>
      <c r="K29" s="21">
        <v>0</v>
      </c>
      <c r="L29" s="22">
        <f t="shared" si="0"/>
        <v>79438</v>
      </c>
      <c r="M29" s="14"/>
      <c r="N29" s="14"/>
      <c r="O29" s="14"/>
      <c r="P29" s="14"/>
      <c r="Q29" s="14"/>
      <c r="R29" s="14"/>
      <c r="S29" s="14"/>
      <c r="T29" s="14"/>
    </row>
    <row r="30" spans="1:20" s="15" customFormat="1" ht="63.75">
      <c r="A30" s="11"/>
      <c r="B30" s="20" t="s">
        <v>9</v>
      </c>
      <c r="C30" s="20" t="s">
        <v>245</v>
      </c>
      <c r="D30" s="19" t="s">
        <v>38</v>
      </c>
      <c r="E30" s="19" t="s">
        <v>255</v>
      </c>
      <c r="F30" s="21">
        <v>16053</v>
      </c>
      <c r="G30" s="21">
        <v>16915</v>
      </c>
      <c r="H30" s="21">
        <v>16537</v>
      </c>
      <c r="I30" s="21">
        <v>16130</v>
      </c>
      <c r="J30" s="21">
        <v>15722</v>
      </c>
      <c r="K30" s="21">
        <f>15373+14950+104477</f>
        <v>134800</v>
      </c>
      <c r="L30" s="22">
        <f t="shared" si="0"/>
        <v>216157</v>
      </c>
      <c r="M30" s="14"/>
      <c r="N30" s="14"/>
      <c r="O30" s="14"/>
      <c r="P30" s="14"/>
      <c r="Q30" s="14"/>
      <c r="R30" s="14"/>
      <c r="S30" s="14"/>
      <c r="T30" s="14"/>
    </row>
    <row r="31" spans="1:20" s="15" customFormat="1" ht="63.75">
      <c r="A31" s="11"/>
      <c r="B31" s="20" t="s">
        <v>9</v>
      </c>
      <c r="C31" s="20" t="s">
        <v>243</v>
      </c>
      <c r="D31" s="19" t="s">
        <v>13</v>
      </c>
      <c r="E31" s="19" t="s">
        <v>244</v>
      </c>
      <c r="F31" s="21">
        <v>2477</v>
      </c>
      <c r="G31" s="21">
        <v>2457</v>
      </c>
      <c r="H31" s="21">
        <v>2378</v>
      </c>
      <c r="I31" s="21">
        <v>586</v>
      </c>
      <c r="J31" s="21">
        <v>0</v>
      </c>
      <c r="K31" s="21">
        <v>0</v>
      </c>
      <c r="L31" s="22">
        <f t="shared" si="0"/>
        <v>7898</v>
      </c>
      <c r="M31" s="14"/>
      <c r="N31" s="14"/>
      <c r="O31" s="14"/>
      <c r="P31" s="14"/>
      <c r="Q31" s="14"/>
      <c r="R31" s="14"/>
      <c r="S31" s="14"/>
      <c r="T31" s="14"/>
    </row>
    <row r="32" spans="1:20" s="15" customFormat="1" ht="89.25">
      <c r="A32" s="11"/>
      <c r="B32" s="20" t="s">
        <v>9</v>
      </c>
      <c r="C32" s="20" t="s">
        <v>241</v>
      </c>
      <c r="D32" s="19" t="s">
        <v>26</v>
      </c>
      <c r="E32" s="19" t="s">
        <v>242</v>
      </c>
      <c r="F32" s="21">
        <v>22978</v>
      </c>
      <c r="G32" s="21">
        <v>24010</v>
      </c>
      <c r="H32" s="21">
        <v>23224</v>
      </c>
      <c r="I32" s="21">
        <v>22444</v>
      </c>
      <c r="J32" s="21">
        <v>4428</v>
      </c>
      <c r="K32" s="21">
        <v>0</v>
      </c>
      <c r="L32" s="22">
        <f t="shared" si="0"/>
        <v>97084</v>
      </c>
      <c r="M32" s="14"/>
      <c r="N32" s="14"/>
      <c r="O32" s="14"/>
      <c r="P32" s="14"/>
      <c r="Q32" s="14"/>
      <c r="R32" s="14"/>
      <c r="S32" s="14"/>
      <c r="T32" s="14"/>
    </row>
    <row r="33" spans="1:20" s="15" customFormat="1" ht="51">
      <c r="A33" s="11"/>
      <c r="B33" s="20" t="s">
        <v>9</v>
      </c>
      <c r="C33" s="20" t="s">
        <v>32</v>
      </c>
      <c r="D33" s="19" t="s">
        <v>33</v>
      </c>
      <c r="E33" s="19" t="s">
        <v>240</v>
      </c>
      <c r="F33" s="21">
        <v>9122</v>
      </c>
      <c r="G33" s="21">
        <v>9994</v>
      </c>
      <c r="H33" s="21">
        <v>9718</v>
      </c>
      <c r="I33" s="21">
        <v>9449</v>
      </c>
      <c r="J33" s="21">
        <v>9179</v>
      </c>
      <c r="K33" s="21">
        <f>8931+8654+28098</f>
        <v>45683</v>
      </c>
      <c r="L33" s="22">
        <f t="shared" si="0"/>
        <v>93145</v>
      </c>
      <c r="M33" s="14"/>
      <c r="N33" s="14"/>
      <c r="O33" s="14"/>
      <c r="P33" s="14"/>
      <c r="Q33" s="14"/>
      <c r="R33" s="14"/>
      <c r="S33" s="14"/>
      <c r="T33" s="14"/>
    </row>
    <row r="34" spans="1:20" s="15" customFormat="1" ht="51">
      <c r="A34" s="11"/>
      <c r="B34" s="20" t="s">
        <v>9</v>
      </c>
      <c r="C34" s="20" t="s">
        <v>34</v>
      </c>
      <c r="D34" s="19" t="s">
        <v>33</v>
      </c>
      <c r="E34" s="19" t="s">
        <v>240</v>
      </c>
      <c r="F34" s="21">
        <v>5096</v>
      </c>
      <c r="G34" s="21">
        <v>5583</v>
      </c>
      <c r="H34" s="21">
        <v>5429</v>
      </c>
      <c r="I34" s="21">
        <v>5279</v>
      </c>
      <c r="J34" s="21">
        <v>5128</v>
      </c>
      <c r="K34" s="21">
        <f>4990+4835+15695</f>
        <v>25520</v>
      </c>
      <c r="L34" s="22">
        <f t="shared" si="0"/>
        <v>52035</v>
      </c>
      <c r="M34" s="14"/>
      <c r="N34" s="14"/>
      <c r="O34" s="14"/>
      <c r="P34" s="14"/>
      <c r="Q34" s="14"/>
      <c r="R34" s="14"/>
      <c r="S34" s="14"/>
      <c r="T34" s="14"/>
    </row>
    <row r="35" spans="1:20" s="15" customFormat="1" ht="38.25">
      <c r="A35" s="11"/>
      <c r="B35" s="20" t="s">
        <v>9</v>
      </c>
      <c r="C35" s="20" t="s">
        <v>237</v>
      </c>
      <c r="D35" s="19" t="s">
        <v>35</v>
      </c>
      <c r="E35" s="19" t="s">
        <v>238</v>
      </c>
      <c r="F35" s="21">
        <v>22606</v>
      </c>
      <c r="G35" s="21">
        <v>28428</v>
      </c>
      <c r="H35" s="21">
        <v>27795</v>
      </c>
      <c r="I35" s="21">
        <v>27196</v>
      </c>
      <c r="J35" s="21">
        <v>26595</v>
      </c>
      <c r="K35" s="21">
        <f>26138+25504+288103</f>
        <v>339745</v>
      </c>
      <c r="L35" s="22">
        <f t="shared" si="0"/>
        <v>472365</v>
      </c>
      <c r="M35" s="14"/>
      <c r="N35" s="14"/>
      <c r="O35" s="14"/>
      <c r="P35" s="14"/>
      <c r="Q35" s="14"/>
      <c r="R35" s="14"/>
      <c r="S35" s="14"/>
      <c r="T35" s="14"/>
    </row>
    <row r="36" spans="1:20" s="15" customFormat="1" ht="89.25">
      <c r="A36" s="11"/>
      <c r="B36" s="20" t="s">
        <v>9</v>
      </c>
      <c r="C36" s="20" t="s">
        <v>239</v>
      </c>
      <c r="D36" s="19" t="s">
        <v>27</v>
      </c>
      <c r="E36" s="19" t="s">
        <v>236</v>
      </c>
      <c r="F36" s="21">
        <v>48620</v>
      </c>
      <c r="G36" s="21">
        <v>49652</v>
      </c>
      <c r="H36" s="21">
        <v>48097</v>
      </c>
      <c r="I36" s="21">
        <v>46563</v>
      </c>
      <c r="J36" s="21">
        <v>45025</v>
      </c>
      <c r="K36" s="21">
        <v>32844</v>
      </c>
      <c r="L36" s="22">
        <f t="shared" si="0"/>
        <v>270801</v>
      </c>
      <c r="M36" s="14"/>
      <c r="N36" s="14"/>
      <c r="O36" s="14"/>
      <c r="P36" s="14"/>
      <c r="Q36" s="14"/>
      <c r="R36" s="14"/>
      <c r="S36" s="14"/>
      <c r="T36" s="14"/>
    </row>
    <row r="37" spans="1:33" s="15" customFormat="1" ht="51">
      <c r="A37" s="11"/>
      <c r="B37" s="20" t="s">
        <v>9</v>
      </c>
      <c r="C37" s="20" t="s">
        <v>31</v>
      </c>
      <c r="D37" s="19" t="s">
        <v>27</v>
      </c>
      <c r="E37" s="19" t="s">
        <v>236</v>
      </c>
      <c r="F37" s="21">
        <v>16179</v>
      </c>
      <c r="G37" s="21">
        <v>16533</v>
      </c>
      <c r="H37" s="21">
        <v>16013</v>
      </c>
      <c r="I37" s="21">
        <v>15500</v>
      </c>
      <c r="J37" s="21">
        <v>14986</v>
      </c>
      <c r="K37" s="21">
        <v>10929</v>
      </c>
      <c r="L37" s="22">
        <f t="shared" si="0"/>
        <v>90140</v>
      </c>
      <c r="M37" s="22">
        <f t="shared" si="1" ref="M37:AG37">=SUM(G37:L37)</f>
        <v>164101</v>
      </c>
      <c r="N37" s="22">
        <f t="shared" si="1"/>
        <v>311669</v>
      </c>
      <c r="O37" s="22">
        <f t="shared" si="1"/>
        <v>607325</v>
      </c>
      <c r="P37" s="22">
        <f t="shared" si="1"/>
        <v>1199150</v>
      </c>
      <c r="Q37" s="22">
        <f t="shared" si="1"/>
        <v>2383314</v>
      </c>
      <c r="R37" s="22">
        <f t="shared" si="1"/>
        <v>4755699</v>
      </c>
      <c r="S37" s="22">
        <f t="shared" si="1"/>
        <v>9421258</v>
      </c>
      <c r="T37" s="22">
        <f t="shared" si="1"/>
        <v>18678415</v>
      </c>
      <c r="U37" s="22">
        <f t="shared" si="1"/>
        <v>37045161</v>
      </c>
      <c r="V37" s="22">
        <f t="shared" si="1"/>
        <v>73482997</v>
      </c>
      <c r="W37" s="22">
        <f t="shared" si="1"/>
        <v>145766844</v>
      </c>
      <c r="X37" s="22">
        <f t="shared" si="1"/>
        <v>289150374</v>
      </c>
      <c r="Y37" s="22">
        <f t="shared" si="1"/>
        <v>573545049</v>
      </c>
      <c r="Z37" s="22">
        <f t="shared" si="1"/>
        <v>1137668840</v>
      </c>
      <c r="AA37" s="22">
        <f t="shared" si="1"/>
        <v>2256659265</v>
      </c>
      <c r="AB37" s="22">
        <f t="shared" si="1"/>
        <v>4476273369</v>
      </c>
      <c r="AC37" s="22">
        <f t="shared" si="1"/>
        <v>8879063741</v>
      </c>
      <c r="AD37" s="22">
        <f t="shared" si="1"/>
        <v>17612360638</v>
      </c>
      <c r="AE37" s="22">
        <f t="shared" si="1"/>
        <v>34935570902</v>
      </c>
      <c r="AF37" s="22">
        <f t="shared" si="1"/>
        <v>69297596755</v>
      </c>
      <c r="AG37" s="22">
        <f t="shared" si="1"/>
        <v>137457524670</v>
      </c>
    </row>
    <row r="38" spans="1:20" s="15" customFormat="1" ht="25.5">
      <c r="A38" s="11"/>
      <c r="B38" s="20" t="s">
        <v>9</v>
      </c>
      <c r="C38" s="20" t="s">
        <v>273</v>
      </c>
      <c r="D38" s="19" t="s">
        <v>130</v>
      </c>
      <c r="E38" s="19" t="s">
        <v>274</v>
      </c>
      <c r="F38" s="21">
        <v>4603</v>
      </c>
      <c r="G38" s="21">
        <v>4851</v>
      </c>
      <c r="H38" s="21">
        <v>4751</v>
      </c>
      <c r="I38" s="21">
        <v>4621</v>
      </c>
      <c r="J38" s="21">
        <v>4490</v>
      </c>
      <c r="K38" s="21">
        <v>0</v>
      </c>
      <c r="L38" s="22">
        <f t="shared" si="0"/>
        <v>23316</v>
      </c>
      <c r="M38" s="14"/>
      <c r="N38" s="14"/>
      <c r="O38" s="14"/>
      <c r="P38" s="14"/>
      <c r="Q38" s="14"/>
      <c r="R38" s="14"/>
      <c r="S38" s="14"/>
      <c r="T38" s="14"/>
    </row>
    <row r="39" spans="1:20" s="15" customFormat="1" ht="63.75">
      <c r="A39" s="11"/>
      <c r="B39" s="20" t="s">
        <v>9</v>
      </c>
      <c r="C39" s="20" t="s">
        <v>234</v>
      </c>
      <c r="D39" s="19" t="s">
        <v>57</v>
      </c>
      <c r="E39" s="19" t="s">
        <v>235</v>
      </c>
      <c r="F39" s="21">
        <v>14432</v>
      </c>
      <c r="G39" s="21">
        <v>14716</v>
      </c>
      <c r="H39" s="21">
        <v>14316</v>
      </c>
      <c r="I39" s="21">
        <v>13861</v>
      </c>
      <c r="J39" s="21">
        <v>13405</v>
      </c>
      <c r="K39" s="21">
        <v>12975</v>
      </c>
      <c r="L39" s="22">
        <f t="shared" si="0"/>
        <v>83705</v>
      </c>
      <c r="M39" s="14"/>
      <c r="N39" s="14"/>
      <c r="O39" s="14"/>
      <c r="P39" s="14"/>
      <c r="Q39" s="14"/>
      <c r="R39" s="14"/>
      <c r="S39" s="14"/>
      <c r="T39" s="14"/>
    </row>
    <row r="40" spans="1:20" s="15" customFormat="1" ht="38.25">
      <c r="A40" s="11"/>
      <c r="B40" s="20" t="s">
        <v>9</v>
      </c>
      <c r="C40" s="20" t="s">
        <v>232</v>
      </c>
      <c r="D40" s="19" t="s">
        <v>131</v>
      </c>
      <c r="E40" s="19" t="s">
        <v>233</v>
      </c>
      <c r="F40" s="21">
        <v>7491</v>
      </c>
      <c r="G40" s="21">
        <v>8027</v>
      </c>
      <c r="H40" s="21">
        <v>7809</v>
      </c>
      <c r="I40" s="21">
        <v>7596</v>
      </c>
      <c r="J40" s="21">
        <v>7383</v>
      </c>
      <c r="K40" s="21">
        <f>7205+6983+27138</f>
        <v>41326</v>
      </c>
      <c r="L40" s="22">
        <f t="shared" si="0"/>
        <v>79632</v>
      </c>
      <c r="M40" s="14"/>
      <c r="N40" s="14"/>
      <c r="O40" s="14"/>
      <c r="P40" s="14"/>
      <c r="Q40" s="14"/>
      <c r="R40" s="14"/>
      <c r="S40" s="14"/>
      <c r="T40" s="14"/>
    </row>
    <row r="41" spans="1:20" s="15" customFormat="1" ht="63.75">
      <c r="A41" s="11"/>
      <c r="B41" s="20" t="s">
        <v>9</v>
      </c>
      <c r="C41" s="20" t="s">
        <v>230</v>
      </c>
      <c r="D41" s="19" t="s">
        <v>78</v>
      </c>
      <c r="E41" s="19" t="s">
        <v>231</v>
      </c>
      <c r="F41" s="21">
        <v>11274</v>
      </c>
      <c r="G41" s="21">
        <v>11617</v>
      </c>
      <c r="H41" s="21">
        <v>11247</v>
      </c>
      <c r="I41" s="21">
        <v>10881</v>
      </c>
      <c r="J41" s="21">
        <v>10514</v>
      </c>
      <c r="K41" s="21">
        <v>2584</v>
      </c>
      <c r="L41" s="22">
        <f t="shared" si="0"/>
        <v>58117</v>
      </c>
      <c r="M41" s="14"/>
      <c r="N41" s="14"/>
      <c r="O41" s="14"/>
      <c r="P41" s="14"/>
      <c r="Q41" s="14"/>
      <c r="R41" s="14"/>
      <c r="S41" s="14"/>
      <c r="T41" s="14"/>
    </row>
    <row r="42" spans="1:20" s="15" customFormat="1" ht="63.75">
      <c r="A42" s="11"/>
      <c r="B42" s="20" t="s">
        <v>9</v>
      </c>
      <c r="C42" s="20" t="s">
        <v>228</v>
      </c>
      <c r="D42" s="19" t="s">
        <v>76</v>
      </c>
      <c r="E42" s="19" t="s">
        <v>229</v>
      </c>
      <c r="F42" s="21">
        <v>4063</v>
      </c>
      <c r="G42" s="21">
        <v>4652</v>
      </c>
      <c r="H42" s="21">
        <v>4526</v>
      </c>
      <c r="I42" s="21">
        <v>4403</v>
      </c>
      <c r="J42" s="21">
        <v>4281</v>
      </c>
      <c r="K42" s="21">
        <f>4187+4058+16696</f>
        <v>24941</v>
      </c>
      <c r="L42" s="22">
        <f t="shared" si="0"/>
        <v>46866</v>
      </c>
      <c r="M42" s="14"/>
      <c r="N42" s="14"/>
      <c r="O42" s="14"/>
      <c r="P42" s="14"/>
      <c r="Q42" s="14"/>
      <c r="R42" s="14"/>
      <c r="S42" s="14"/>
      <c r="T42" s="14"/>
    </row>
    <row r="43" spans="1:20" s="15" customFormat="1" ht="80.25" customHeight="1">
      <c r="A43" s="11"/>
      <c r="B43" s="20" t="s">
        <v>9</v>
      </c>
      <c r="C43" s="20" t="s">
        <v>226</v>
      </c>
      <c r="D43" s="19" t="s">
        <v>19</v>
      </c>
      <c r="E43" s="19" t="s">
        <v>227</v>
      </c>
      <c r="F43" s="21">
        <v>12230</v>
      </c>
      <c r="G43" s="21">
        <v>13668</v>
      </c>
      <c r="H43" s="21">
        <v>13298</v>
      </c>
      <c r="I43" s="21">
        <v>12938</v>
      </c>
      <c r="J43" s="21">
        <v>12578</v>
      </c>
      <c r="K43" s="21">
        <f>12279+11903+48820</f>
        <v>73002</v>
      </c>
      <c r="L43" s="22">
        <f t="shared" si="0"/>
        <v>137714</v>
      </c>
      <c r="M43" s="14"/>
      <c r="N43" s="14"/>
      <c r="O43" s="14"/>
      <c r="P43" s="14"/>
      <c r="Q43" s="14"/>
      <c r="R43" s="14"/>
      <c r="S43" s="14"/>
      <c r="T43" s="14"/>
    </row>
    <row r="44" spans="1:20" s="15" customFormat="1" ht="52.5" customHeight="1">
      <c r="A44" s="11"/>
      <c r="B44" s="20" t="s">
        <v>9</v>
      </c>
      <c r="C44" s="20" t="s">
        <v>79</v>
      </c>
      <c r="D44" s="19" t="s">
        <v>80</v>
      </c>
      <c r="E44" s="19" t="s">
        <v>225</v>
      </c>
      <c r="F44" s="21">
        <v>17628</v>
      </c>
      <c r="G44" s="21">
        <v>18734</v>
      </c>
      <c r="H44" s="21">
        <v>18145</v>
      </c>
      <c r="I44" s="21">
        <v>17564</v>
      </c>
      <c r="J44" s="21">
        <v>16981</v>
      </c>
      <c r="K44" s="21">
        <v>12373</v>
      </c>
      <c r="L44" s="22">
        <f t="shared" si="0"/>
        <v>101425</v>
      </c>
      <c r="M44" s="14"/>
      <c r="N44" s="14"/>
      <c r="O44" s="14"/>
      <c r="P44" s="14"/>
      <c r="Q44" s="14"/>
      <c r="R44" s="14"/>
      <c r="S44" s="14"/>
      <c r="T44" s="14"/>
    </row>
    <row r="45" spans="1:20" s="15" customFormat="1" ht="63.75">
      <c r="A45" s="11"/>
      <c r="B45" s="20" t="s">
        <v>9</v>
      </c>
      <c r="C45" s="20" t="s">
        <v>224</v>
      </c>
      <c r="D45" s="19" t="s">
        <v>23</v>
      </c>
      <c r="E45" s="19" t="s">
        <v>180</v>
      </c>
      <c r="F45" s="21">
        <v>3202</v>
      </c>
      <c r="G45" s="21">
        <v>3357</v>
      </c>
      <c r="H45" s="21">
        <v>3258</v>
      </c>
      <c r="I45" s="21">
        <v>3161</v>
      </c>
      <c r="J45" s="21">
        <v>3037</v>
      </c>
      <c r="K45" s="21">
        <f>2973+2872+2789</f>
        <v>8634</v>
      </c>
      <c r="L45" s="22">
        <f t="shared" si="0"/>
        <v>24649</v>
      </c>
      <c r="M45" s="14"/>
      <c r="N45" s="14"/>
      <c r="O45" s="14"/>
      <c r="P45" s="14"/>
      <c r="Q45" s="14"/>
      <c r="R45" s="14"/>
      <c r="S45" s="14"/>
      <c r="T45" s="14"/>
    </row>
    <row r="46" spans="1:20" s="15" customFormat="1" ht="38.25">
      <c r="A46" s="11"/>
      <c r="B46" s="20" t="s">
        <v>9</v>
      </c>
      <c r="C46" s="20" t="s">
        <v>42</v>
      </c>
      <c r="D46" s="19" t="s">
        <v>43</v>
      </c>
      <c r="E46" s="19" t="s">
        <v>223</v>
      </c>
      <c r="F46" s="21">
        <v>12922</v>
      </c>
      <c r="G46" s="21">
        <v>12831</v>
      </c>
      <c r="H46" s="21">
        <v>12415</v>
      </c>
      <c r="I46" s="21">
        <v>11992</v>
      </c>
      <c r="J46" s="21">
        <v>0</v>
      </c>
      <c r="K46" s="21">
        <v>0</v>
      </c>
      <c r="L46" s="22">
        <f t="shared" si="0"/>
        <v>50160</v>
      </c>
      <c r="M46" s="14"/>
      <c r="N46" s="14"/>
      <c r="O46" s="14"/>
      <c r="P46" s="14"/>
      <c r="Q46" s="14"/>
      <c r="R46" s="14"/>
      <c r="S46" s="14"/>
      <c r="T46" s="14"/>
    </row>
    <row r="47" spans="1:20" s="15" customFormat="1" ht="76.5">
      <c r="A47" s="11"/>
      <c r="B47" s="20" t="s">
        <v>9</v>
      </c>
      <c r="C47" s="20" t="s">
        <v>221</v>
      </c>
      <c r="D47" s="19" t="s">
        <v>77</v>
      </c>
      <c r="E47" s="19" t="s">
        <v>222</v>
      </c>
      <c r="F47" s="21">
        <v>8452</v>
      </c>
      <c r="G47" s="21">
        <v>8884</v>
      </c>
      <c r="H47" s="21">
        <v>8616</v>
      </c>
      <c r="I47" s="21">
        <v>8353</v>
      </c>
      <c r="J47" s="21">
        <v>8089</v>
      </c>
      <c r="K47" s="21">
        <f>7839+7568+1835</f>
        <v>17242</v>
      </c>
      <c r="L47" s="22">
        <f t="shared" si="0"/>
        <v>59636</v>
      </c>
      <c r="M47" s="14"/>
      <c r="N47" s="14"/>
      <c r="O47" s="14"/>
      <c r="P47" s="14"/>
      <c r="Q47" s="14"/>
      <c r="R47" s="14"/>
      <c r="S47" s="14"/>
      <c r="T47" s="14"/>
    </row>
    <row r="48" spans="1:20" s="15" customFormat="1" ht="76.5">
      <c r="A48" s="11"/>
      <c r="B48" s="20" t="s">
        <v>9</v>
      </c>
      <c r="C48" s="20" t="s">
        <v>219</v>
      </c>
      <c r="D48" s="19" t="s">
        <v>55</v>
      </c>
      <c r="E48" s="19" t="s">
        <v>220</v>
      </c>
      <c r="F48" s="21">
        <v>4078</v>
      </c>
      <c r="G48" s="21">
        <v>4344</v>
      </c>
      <c r="H48" s="21">
        <v>4213</v>
      </c>
      <c r="I48" s="21">
        <v>4085</v>
      </c>
      <c r="J48" s="21">
        <v>3955</v>
      </c>
      <c r="K48" s="21">
        <f>3833+3700+902</f>
        <v>8435</v>
      </c>
      <c r="L48" s="22">
        <f t="shared" si="0"/>
        <v>29110</v>
      </c>
      <c r="M48" s="14"/>
      <c r="N48" s="14"/>
      <c r="O48" s="14"/>
      <c r="P48" s="14"/>
      <c r="Q48" s="14"/>
      <c r="R48" s="14"/>
      <c r="S48" s="14"/>
      <c r="T48" s="14"/>
    </row>
    <row r="49" spans="1:20" s="15" customFormat="1" ht="63.75">
      <c r="A49" s="11"/>
      <c r="B49" s="20" t="s">
        <v>9</v>
      </c>
      <c r="C49" s="20" t="s">
        <v>81</v>
      </c>
      <c r="D49" s="19" t="s">
        <v>82</v>
      </c>
      <c r="E49" s="19" t="s">
        <v>218</v>
      </c>
      <c r="F49" s="21">
        <v>9840</v>
      </c>
      <c r="G49" s="21">
        <v>9922</v>
      </c>
      <c r="H49" s="21">
        <v>4843</v>
      </c>
      <c r="I49" s="21">
        <v>0</v>
      </c>
      <c r="J49" s="21">
        <v>0</v>
      </c>
      <c r="K49" s="21">
        <v>0</v>
      </c>
      <c r="L49" s="22">
        <f t="shared" si="0"/>
        <v>24605</v>
      </c>
      <c r="M49" s="14"/>
      <c r="N49" s="14"/>
      <c r="O49" s="14"/>
      <c r="P49" s="14"/>
      <c r="Q49" s="14"/>
      <c r="R49" s="14"/>
      <c r="S49" s="14"/>
      <c r="T49" s="14"/>
    </row>
    <row r="50" spans="1:20" s="15" customFormat="1" ht="76.5">
      <c r="A50" s="11"/>
      <c r="B50" s="20" t="s">
        <v>9</v>
      </c>
      <c r="C50" s="20" t="s">
        <v>299</v>
      </c>
      <c r="D50" s="19" t="s">
        <v>111</v>
      </c>
      <c r="E50" s="19" t="s">
        <v>213</v>
      </c>
      <c r="F50" s="21">
        <v>33084</v>
      </c>
      <c r="G50" s="21">
        <v>38421</v>
      </c>
      <c r="H50" s="21">
        <v>37433</v>
      </c>
      <c r="I50" s="21">
        <v>36479</v>
      </c>
      <c r="J50" s="21">
        <v>34873</v>
      </c>
      <c r="K50" s="21">
        <v>273581</v>
      </c>
      <c r="L50" s="22">
        <f t="shared" si="0"/>
        <v>453871</v>
      </c>
      <c r="M50" s="14"/>
      <c r="N50" s="14"/>
      <c r="O50" s="14"/>
      <c r="P50" s="14"/>
      <c r="Q50" s="14"/>
      <c r="R50" s="14"/>
      <c r="S50" s="14"/>
      <c r="T50" s="14"/>
    </row>
    <row r="51" spans="1:34" s="15" customFormat="1" ht="76.5">
      <c r="A51" s="11"/>
      <c r="B51" s="20" t="s">
        <v>9</v>
      </c>
      <c r="C51" s="20" t="s">
        <v>217</v>
      </c>
      <c r="D51" s="19" t="s">
        <v>73</v>
      </c>
      <c r="E51" s="19" t="s">
        <v>161</v>
      </c>
      <c r="F51" s="21">
        <v>6977</v>
      </c>
      <c r="G51" s="21">
        <v>7642</v>
      </c>
      <c r="H51" s="21">
        <v>7420</v>
      </c>
      <c r="I51" s="21">
        <v>7204</v>
      </c>
      <c r="J51" s="21">
        <v>6986</v>
      </c>
      <c r="K51" s="21">
        <f>6790+6565+10916</f>
        <v>24271</v>
      </c>
      <c r="L51" s="22">
        <f t="shared" si="0"/>
        <v>60500</v>
      </c>
      <c r="M51" s="14"/>
      <c r="N51" s="14"/>
      <c r="O51" s="14"/>
      <c r="P51" s="14"/>
      <c r="Q51" s="14"/>
      <c r="R51" s="14"/>
      <c r="S51" s="14"/>
      <c r="T51" s="14"/>
      <c r="AH51" s="41"/>
    </row>
    <row r="52" spans="1:20" s="15" customFormat="1" ht="51">
      <c r="A52" s="11"/>
      <c r="B52" s="20" t="s">
        <v>9</v>
      </c>
      <c r="C52" s="20" t="s">
        <v>300</v>
      </c>
      <c r="D52" s="19" t="s">
        <v>110</v>
      </c>
      <c r="E52" s="19" t="s">
        <v>216</v>
      </c>
      <c r="F52" s="21">
        <v>8309</v>
      </c>
      <c r="G52" s="21">
        <v>8520</v>
      </c>
      <c r="H52" s="21">
        <v>8288</v>
      </c>
      <c r="I52" s="21">
        <v>8048</v>
      </c>
      <c r="J52" s="21">
        <v>7807</v>
      </c>
      <c r="K52" s="21">
        <f>7591+7341+13891</f>
        <v>28823</v>
      </c>
      <c r="L52" s="22">
        <f t="shared" si="0"/>
        <v>69795</v>
      </c>
      <c r="M52" s="14"/>
      <c r="N52" s="14"/>
      <c r="O52" s="14"/>
      <c r="P52" s="14"/>
      <c r="Q52" s="14"/>
      <c r="R52" s="14"/>
      <c r="S52" s="14"/>
      <c r="T52" s="14"/>
    </row>
    <row r="53" spans="1:34" s="15" customFormat="1" ht="89.25">
      <c r="A53" s="11"/>
      <c r="B53" s="20" t="s">
        <v>9</v>
      </c>
      <c r="C53" s="20" t="s">
        <v>301</v>
      </c>
      <c r="D53" s="19" t="s">
        <v>104</v>
      </c>
      <c r="E53" s="19" t="s">
        <v>215</v>
      </c>
      <c r="F53" s="21">
        <v>4204</v>
      </c>
      <c r="G53" s="21">
        <v>7</v>
      </c>
      <c r="H53" s="21">
        <v>0</v>
      </c>
      <c r="I53" s="21">
        <v>0</v>
      </c>
      <c r="J53" s="21">
        <v>0</v>
      </c>
      <c r="K53" s="21">
        <v>0</v>
      </c>
      <c r="L53" s="22">
        <f t="shared" si="0"/>
        <v>4211</v>
      </c>
      <c r="M53" s="14"/>
      <c r="N53" s="14"/>
      <c r="O53" s="14"/>
      <c r="P53" s="14"/>
      <c r="Q53" s="14"/>
      <c r="R53" s="14"/>
      <c r="S53" s="14"/>
      <c r="T53" s="14"/>
      <c r="AH53" s="41"/>
    </row>
    <row r="54" spans="1:20" s="15" customFormat="1" ht="63.75">
      <c r="A54" s="11"/>
      <c r="B54" s="20" t="s">
        <v>9</v>
      </c>
      <c r="C54" s="20" t="s">
        <v>302</v>
      </c>
      <c r="D54" s="19" t="s">
        <v>98</v>
      </c>
      <c r="E54" s="19" t="s">
        <v>214</v>
      </c>
      <c r="F54" s="21">
        <v>9530</v>
      </c>
      <c r="G54" s="21">
        <v>4767</v>
      </c>
      <c r="H54" s="21">
        <v>0</v>
      </c>
      <c r="I54" s="21">
        <v>0</v>
      </c>
      <c r="J54" s="21">
        <v>0</v>
      </c>
      <c r="K54" s="21">
        <v>0</v>
      </c>
      <c r="L54" s="22">
        <f t="shared" si="0"/>
        <v>14297</v>
      </c>
      <c r="M54" s="14"/>
      <c r="N54" s="14"/>
      <c r="O54" s="14"/>
      <c r="P54" s="14"/>
      <c r="Q54" s="14"/>
      <c r="R54" s="14"/>
      <c r="S54" s="14"/>
      <c r="T54" s="14"/>
    </row>
    <row r="55" spans="1:20" s="15" customFormat="1" ht="38.25">
      <c r="A55" s="11"/>
      <c r="B55" s="20" t="s">
        <v>9</v>
      </c>
      <c r="C55" s="20" t="s">
        <v>212</v>
      </c>
      <c r="D55" s="19" t="s">
        <v>129</v>
      </c>
      <c r="E55" s="19" t="s">
        <v>213</v>
      </c>
      <c r="F55" s="21">
        <v>9800</v>
      </c>
      <c r="G55" s="21">
        <v>11174</v>
      </c>
      <c r="H55" s="21">
        <v>10887</v>
      </c>
      <c r="I55" s="21">
        <v>10609</v>
      </c>
      <c r="J55" s="21">
        <v>10331</v>
      </c>
      <c r="K55" s="21">
        <f>10117+9825+58609</f>
        <v>78551</v>
      </c>
      <c r="L55" s="22">
        <f t="shared" si="0"/>
        <v>131352</v>
      </c>
      <c r="M55" s="14"/>
      <c r="N55" s="14"/>
      <c r="O55" s="14"/>
      <c r="P55" s="14"/>
      <c r="Q55" s="14"/>
      <c r="R55" s="14"/>
      <c r="S55" s="14"/>
      <c r="T55" s="14"/>
    </row>
    <row r="56" spans="1:20" s="15" customFormat="1" ht="51">
      <c r="A56" s="11"/>
      <c r="B56" s="20" t="s">
        <v>9</v>
      </c>
      <c r="C56" s="20" t="s">
        <v>89</v>
      </c>
      <c r="D56" s="19" t="s">
        <v>90</v>
      </c>
      <c r="E56" s="19" t="s">
        <v>211</v>
      </c>
      <c r="F56" s="21">
        <v>4633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2">
        <f t="shared" si="0"/>
        <v>4633</v>
      </c>
      <c r="M56" s="14"/>
      <c r="N56" s="14"/>
      <c r="O56" s="14"/>
      <c r="P56" s="14"/>
      <c r="Q56" s="14"/>
      <c r="R56" s="14"/>
      <c r="S56" s="14"/>
      <c r="T56" s="14"/>
    </row>
    <row r="57" spans="1:20" s="15" customFormat="1" ht="51">
      <c r="A57" s="11"/>
      <c r="B57" s="20" t="s">
        <v>9</v>
      </c>
      <c r="C57" s="20" t="s">
        <v>94</v>
      </c>
      <c r="D57" s="19" t="s">
        <v>95</v>
      </c>
      <c r="E57" s="19" t="s">
        <v>210</v>
      </c>
      <c r="F57" s="21">
        <v>4917</v>
      </c>
      <c r="G57" s="21">
        <v>1223</v>
      </c>
      <c r="H57" s="21">
        <v>0</v>
      </c>
      <c r="I57" s="21">
        <v>0</v>
      </c>
      <c r="J57" s="21">
        <v>0</v>
      </c>
      <c r="K57" s="21">
        <v>0</v>
      </c>
      <c r="L57" s="22">
        <f t="shared" si="0"/>
        <v>6140</v>
      </c>
      <c r="M57" s="14"/>
      <c r="N57" s="14"/>
      <c r="O57" s="14"/>
      <c r="P57" s="14"/>
      <c r="Q57" s="14"/>
      <c r="R57" s="14"/>
      <c r="S57" s="14"/>
      <c r="T57" s="14"/>
    </row>
    <row r="58" spans="1:20" s="15" customFormat="1" ht="51">
      <c r="A58" s="11"/>
      <c r="B58" s="20" t="s">
        <v>9</v>
      </c>
      <c r="C58" s="20" t="s">
        <v>47</v>
      </c>
      <c r="D58" s="19" t="s">
        <v>48</v>
      </c>
      <c r="E58" s="19" t="s">
        <v>209</v>
      </c>
      <c r="F58" s="21">
        <v>30119</v>
      </c>
      <c r="G58" s="21">
        <v>30531</v>
      </c>
      <c r="H58" s="21">
        <v>29506</v>
      </c>
      <c r="I58" s="21">
        <v>15079</v>
      </c>
      <c r="J58" s="21">
        <v>0</v>
      </c>
      <c r="K58" s="21">
        <v>0</v>
      </c>
      <c r="L58" s="22">
        <f t="shared" si="0"/>
        <v>105235</v>
      </c>
      <c r="M58" s="14"/>
      <c r="N58" s="14"/>
      <c r="O58" s="14"/>
      <c r="P58" s="14"/>
      <c r="Q58" s="14"/>
      <c r="R58" s="14"/>
      <c r="S58" s="14"/>
      <c r="T58" s="14"/>
    </row>
    <row r="59" spans="1:20" s="15" customFormat="1" ht="63.75">
      <c r="A59" s="11"/>
      <c r="B59" s="20" t="s">
        <v>9</v>
      </c>
      <c r="C59" s="20" t="s">
        <v>303</v>
      </c>
      <c r="D59" s="19" t="s">
        <v>112</v>
      </c>
      <c r="E59" s="19" t="s">
        <v>208</v>
      </c>
      <c r="F59" s="21">
        <v>5273</v>
      </c>
      <c r="G59" s="21">
        <v>6244</v>
      </c>
      <c r="H59" s="21">
        <v>6086</v>
      </c>
      <c r="I59" s="21">
        <v>5934</v>
      </c>
      <c r="J59" s="21">
        <v>5782</v>
      </c>
      <c r="K59" s="21">
        <f>5667+5507+36154</f>
        <v>47328</v>
      </c>
      <c r="L59" s="22">
        <f t="shared" si="0"/>
        <v>76647</v>
      </c>
      <c r="M59" s="14"/>
      <c r="N59" s="14"/>
      <c r="O59" s="14"/>
      <c r="P59" s="14"/>
      <c r="Q59" s="14"/>
      <c r="R59" s="14"/>
      <c r="S59" s="14"/>
      <c r="T59" s="14"/>
    </row>
    <row r="60" spans="1:20" s="15" customFormat="1" ht="76.5">
      <c r="A60" s="11"/>
      <c r="B60" s="20" t="s">
        <v>9</v>
      </c>
      <c r="C60" s="20" t="s">
        <v>304</v>
      </c>
      <c r="D60" s="19" t="s">
        <v>83</v>
      </c>
      <c r="E60" s="19" t="s">
        <v>207</v>
      </c>
      <c r="F60" s="21">
        <v>8213</v>
      </c>
      <c r="G60" s="21">
        <v>9363</v>
      </c>
      <c r="H60" s="21">
        <v>9126</v>
      </c>
      <c r="I60" s="21">
        <v>8898</v>
      </c>
      <c r="J60" s="21">
        <v>8670</v>
      </c>
      <c r="K60" s="21">
        <f>8498+8257+54220</f>
        <v>70975</v>
      </c>
      <c r="L60" s="22">
        <f t="shared" si="0"/>
        <v>115245</v>
      </c>
      <c r="M60" s="14"/>
      <c r="N60" s="14"/>
      <c r="O60" s="14"/>
      <c r="P60" s="14"/>
      <c r="Q60" s="14"/>
      <c r="R60" s="14"/>
      <c r="S60" s="14"/>
      <c r="T60" s="14"/>
    </row>
    <row r="61" spans="1:20" s="15" customFormat="1" ht="38.25">
      <c r="A61" s="11"/>
      <c r="B61" s="20" t="s">
        <v>9</v>
      </c>
      <c r="C61" s="20" t="s">
        <v>305</v>
      </c>
      <c r="D61" s="19" t="s">
        <v>74</v>
      </c>
      <c r="E61" s="19" t="s">
        <v>206</v>
      </c>
      <c r="F61" s="21">
        <v>56433</v>
      </c>
      <c r="G61" s="21">
        <v>71184</v>
      </c>
      <c r="H61" s="21">
        <v>69706</v>
      </c>
      <c r="I61" s="21">
        <v>68320</v>
      </c>
      <c r="J61" s="21">
        <v>66929</v>
      </c>
      <c r="K61" s="21">
        <f>66268+64768+906326</f>
        <v>1037362</v>
      </c>
      <c r="L61" s="22">
        <f t="shared" si="0"/>
        <v>1369934</v>
      </c>
      <c r="M61" s="14"/>
      <c r="N61" s="14"/>
      <c r="O61" s="14"/>
      <c r="P61" s="14"/>
      <c r="Q61" s="14"/>
      <c r="R61" s="14"/>
      <c r="S61" s="14"/>
      <c r="T61" s="14"/>
    </row>
    <row r="62" spans="1:20" s="15" customFormat="1" ht="51">
      <c r="A62" s="11"/>
      <c r="B62" s="20" t="s">
        <v>9</v>
      </c>
      <c r="C62" s="20" t="s">
        <v>204</v>
      </c>
      <c r="D62" s="19" t="s">
        <v>132</v>
      </c>
      <c r="E62" s="19" t="s">
        <v>205</v>
      </c>
      <c r="F62" s="21">
        <v>4417</v>
      </c>
      <c r="G62" s="21">
        <v>5195</v>
      </c>
      <c r="H62" s="21">
        <v>5052</v>
      </c>
      <c r="I62" s="21">
        <v>4916</v>
      </c>
      <c r="J62" s="21">
        <v>4779</v>
      </c>
      <c r="K62" s="21">
        <f>4675+4532+32725</f>
        <v>41932</v>
      </c>
      <c r="L62" s="22">
        <f t="shared" si="0"/>
        <v>66291</v>
      </c>
      <c r="M62" s="14"/>
      <c r="N62" s="14"/>
      <c r="O62" s="14"/>
      <c r="P62" s="14"/>
      <c r="Q62" s="14"/>
      <c r="R62" s="14"/>
      <c r="S62" s="14"/>
      <c r="T62" s="14"/>
    </row>
    <row r="63" spans="1:20" s="15" customFormat="1" ht="51">
      <c r="A63" s="11"/>
      <c r="B63" s="20" t="s">
        <v>9</v>
      </c>
      <c r="C63" s="20" t="s">
        <v>202</v>
      </c>
      <c r="D63" s="19" t="s">
        <v>121</v>
      </c>
      <c r="E63" s="19" t="s">
        <v>200</v>
      </c>
      <c r="F63" s="21">
        <v>29109</v>
      </c>
      <c r="G63" s="21">
        <v>34529</v>
      </c>
      <c r="H63" s="21">
        <v>33674</v>
      </c>
      <c r="I63" s="21">
        <v>32853</v>
      </c>
      <c r="J63" s="21">
        <v>32029</v>
      </c>
      <c r="K63" s="21">
        <f>31433+30566+24679</f>
        <v>86678</v>
      </c>
      <c r="L63" s="22">
        <f t="shared" si="2" ref="L63:L127">=SUM(F63:K63)</f>
        <v>248872</v>
      </c>
      <c r="M63" s="14"/>
      <c r="N63" s="14"/>
      <c r="O63" s="14"/>
      <c r="P63" s="14"/>
      <c r="Q63" s="14"/>
      <c r="R63" s="14"/>
      <c r="S63" s="14"/>
      <c r="T63" s="14"/>
    </row>
    <row r="64" spans="1:20" s="15" customFormat="1" ht="51">
      <c r="A64" s="11"/>
      <c r="B64" s="20" t="s">
        <v>9</v>
      </c>
      <c r="C64" s="20" t="s">
        <v>203</v>
      </c>
      <c r="D64" s="19" t="s">
        <v>121</v>
      </c>
      <c r="E64" s="19" t="s">
        <v>200</v>
      </c>
      <c r="F64" s="21">
        <v>5839</v>
      </c>
      <c r="G64" s="21">
        <v>6927</v>
      </c>
      <c r="H64" s="21">
        <v>6755</v>
      </c>
      <c r="I64" s="21">
        <v>6590</v>
      </c>
      <c r="J64" s="21">
        <v>6425</v>
      </c>
      <c r="K64" s="21">
        <f>6306+6132+45070</f>
        <v>57508</v>
      </c>
      <c r="L64" s="22">
        <f t="shared" si="2"/>
        <v>90044</v>
      </c>
      <c r="M64" s="14"/>
      <c r="N64" s="14"/>
      <c r="O64" s="14"/>
      <c r="P64" s="14"/>
      <c r="Q64" s="14"/>
      <c r="R64" s="14"/>
      <c r="S64" s="14"/>
      <c r="T64" s="14"/>
    </row>
    <row r="65" spans="1:20" s="15" customFormat="1" ht="51">
      <c r="A65" s="11"/>
      <c r="B65" s="20" t="s">
        <v>9</v>
      </c>
      <c r="C65" s="20" t="s">
        <v>201</v>
      </c>
      <c r="D65" s="19" t="s">
        <v>121</v>
      </c>
      <c r="E65" s="19" t="s">
        <v>200</v>
      </c>
      <c r="F65" s="21">
        <v>5177</v>
      </c>
      <c r="G65" s="21">
        <v>6142</v>
      </c>
      <c r="H65" s="21">
        <v>5990</v>
      </c>
      <c r="I65" s="21">
        <v>5843</v>
      </c>
      <c r="J65" s="21">
        <v>5697</v>
      </c>
      <c r="K65" s="21">
        <f>5591+5437+39960</f>
        <v>50988</v>
      </c>
      <c r="L65" s="22">
        <f t="shared" si="2"/>
        <v>79837</v>
      </c>
      <c r="M65" s="14"/>
      <c r="N65" s="14"/>
      <c r="O65" s="14"/>
      <c r="P65" s="14"/>
      <c r="Q65" s="14"/>
      <c r="R65" s="14"/>
      <c r="S65" s="14"/>
      <c r="T65" s="14"/>
    </row>
    <row r="66" spans="1:20" s="15" customFormat="1" ht="51">
      <c r="A66" s="11"/>
      <c r="B66" s="20" t="s">
        <v>9</v>
      </c>
      <c r="C66" s="20" t="s">
        <v>199</v>
      </c>
      <c r="D66" s="19" t="s">
        <v>18</v>
      </c>
      <c r="E66" s="19" t="s">
        <v>200</v>
      </c>
      <c r="F66" s="21">
        <v>1380</v>
      </c>
      <c r="G66" s="21">
        <v>1656</v>
      </c>
      <c r="H66" s="21">
        <v>1615</v>
      </c>
      <c r="I66" s="21">
        <v>1575</v>
      </c>
      <c r="J66" s="21">
        <v>1536</v>
      </c>
      <c r="K66" s="21">
        <f>1507+1466+10771</f>
        <v>13744</v>
      </c>
      <c r="L66" s="22">
        <f t="shared" si="2"/>
        <v>21506</v>
      </c>
      <c r="M66" s="14"/>
      <c r="N66" s="14"/>
      <c r="O66" s="14"/>
      <c r="P66" s="14"/>
      <c r="Q66" s="14"/>
      <c r="R66" s="14"/>
      <c r="S66" s="14"/>
      <c r="T66" s="14"/>
    </row>
    <row r="67" spans="1:20" s="15" customFormat="1" ht="51">
      <c r="A67" s="11"/>
      <c r="B67" s="20" t="s">
        <v>9</v>
      </c>
      <c r="C67" s="20" t="s">
        <v>91</v>
      </c>
      <c r="D67" s="19" t="s">
        <v>92</v>
      </c>
      <c r="E67" s="19" t="s">
        <v>198</v>
      </c>
      <c r="F67" s="21">
        <v>6340</v>
      </c>
      <c r="G67" s="21">
        <v>6360</v>
      </c>
      <c r="H67" s="21">
        <v>3110</v>
      </c>
      <c r="I67" s="21">
        <v>0</v>
      </c>
      <c r="J67" s="21">
        <v>0</v>
      </c>
      <c r="K67" s="21">
        <v>0</v>
      </c>
      <c r="L67" s="22">
        <f t="shared" si="2"/>
        <v>15810</v>
      </c>
      <c r="M67" s="14"/>
      <c r="N67" s="14"/>
      <c r="O67" s="14"/>
      <c r="P67" s="14"/>
      <c r="Q67" s="14"/>
      <c r="R67" s="14"/>
      <c r="S67" s="14"/>
      <c r="T67" s="14"/>
    </row>
    <row r="68" spans="1:20" s="15" customFormat="1" ht="102">
      <c r="A68" s="11"/>
      <c r="B68" s="20" t="s">
        <v>9</v>
      </c>
      <c r="C68" s="20" t="s">
        <v>306</v>
      </c>
      <c r="D68" s="19" t="s">
        <v>105</v>
      </c>
      <c r="E68" s="19" t="s">
        <v>197</v>
      </c>
      <c r="F68" s="21">
        <v>10106</v>
      </c>
      <c r="G68" s="21">
        <v>11643</v>
      </c>
      <c r="H68" s="21">
        <v>11345</v>
      </c>
      <c r="I68" s="21">
        <v>11057</v>
      </c>
      <c r="J68" s="21">
        <v>10769</v>
      </c>
      <c r="K68" s="21">
        <f>10548+9036+65802</f>
        <v>85386</v>
      </c>
      <c r="L68" s="22">
        <f t="shared" si="2"/>
        <v>140306</v>
      </c>
      <c r="M68" s="14"/>
      <c r="N68" s="14"/>
      <c r="O68" s="14"/>
      <c r="P68" s="14"/>
      <c r="Q68" s="14"/>
      <c r="R68" s="14"/>
      <c r="S68" s="14"/>
      <c r="T68" s="14"/>
    </row>
    <row r="69" spans="1:20" s="15" customFormat="1" ht="89.25">
      <c r="A69" s="11"/>
      <c r="B69" s="20" t="s">
        <v>9</v>
      </c>
      <c r="C69" s="20" t="s">
        <v>307</v>
      </c>
      <c r="D69" s="19" t="s">
        <v>72</v>
      </c>
      <c r="E69" s="19" t="s">
        <v>196</v>
      </c>
      <c r="F69" s="21">
        <v>4461</v>
      </c>
      <c r="G69" s="21">
        <v>4703</v>
      </c>
      <c r="H69" s="21">
        <v>4553</v>
      </c>
      <c r="I69" s="21">
        <v>4406</v>
      </c>
      <c r="J69" s="21">
        <v>4258</v>
      </c>
      <c r="K69" s="21">
        <v>2079</v>
      </c>
      <c r="L69" s="22">
        <f t="shared" si="2"/>
        <v>24460</v>
      </c>
      <c r="M69" s="14"/>
      <c r="N69" s="14"/>
      <c r="O69" s="14"/>
      <c r="P69" s="14"/>
      <c r="Q69" s="14"/>
      <c r="R69" s="14"/>
      <c r="S69" s="14"/>
      <c r="T69" s="14"/>
    </row>
    <row r="70" spans="1:34" s="15" customFormat="1" ht="51">
      <c r="A70" s="11"/>
      <c r="B70" s="20" t="s">
        <v>9</v>
      </c>
      <c r="C70" s="20" t="s">
        <v>195</v>
      </c>
      <c r="D70" s="19" t="s">
        <v>88</v>
      </c>
      <c r="E70" s="19" t="s">
        <v>194</v>
      </c>
      <c r="F70" s="21">
        <v>29510</v>
      </c>
      <c r="G70" s="21">
        <v>38574</v>
      </c>
      <c r="H70" s="21">
        <v>37781</v>
      </c>
      <c r="I70" s="21">
        <v>37039</v>
      </c>
      <c r="J70" s="21">
        <v>36295</v>
      </c>
      <c r="K70" s="21">
        <f>35590+34805+507381</f>
        <v>577776</v>
      </c>
      <c r="L70" s="22">
        <f t="shared" si="2"/>
        <v>756975</v>
      </c>
      <c r="M70" s="14"/>
      <c r="N70" s="14"/>
      <c r="O70" s="14"/>
      <c r="P70" s="14"/>
      <c r="Q70" s="14"/>
      <c r="R70" s="14"/>
      <c r="S70" s="14"/>
      <c r="T70" s="14"/>
      <c r="AH70" s="41"/>
    </row>
    <row r="71" spans="1:20" s="15" customFormat="1" ht="38.25">
      <c r="A71" s="11"/>
      <c r="B71" s="20" t="s">
        <v>9</v>
      </c>
      <c r="C71" s="20" t="s">
        <v>101</v>
      </c>
      <c r="D71" s="19" t="s">
        <v>102</v>
      </c>
      <c r="E71" s="19" t="s">
        <v>193</v>
      </c>
      <c r="F71" s="21">
        <v>8682</v>
      </c>
      <c r="G71" s="21">
        <v>9728</v>
      </c>
      <c r="H71" s="21">
        <v>9460</v>
      </c>
      <c r="I71" s="21">
        <v>9199</v>
      </c>
      <c r="J71" s="21">
        <v>8937</v>
      </c>
      <c r="K71" s="21">
        <f>8679+8413+29233</f>
        <v>46325</v>
      </c>
      <c r="L71" s="22">
        <f t="shared" si="2"/>
        <v>92331</v>
      </c>
      <c r="M71" s="14"/>
      <c r="N71" s="14"/>
      <c r="O71" s="14"/>
      <c r="P71" s="14"/>
      <c r="Q71" s="14"/>
      <c r="R71" s="14"/>
      <c r="S71" s="14"/>
      <c r="T71" s="14"/>
    </row>
    <row r="72" spans="1:20" s="15" customFormat="1" ht="51">
      <c r="A72" s="11"/>
      <c r="B72" s="20" t="s">
        <v>9</v>
      </c>
      <c r="C72" s="20" t="s">
        <v>191</v>
      </c>
      <c r="D72" s="19" t="s">
        <v>96</v>
      </c>
      <c r="E72" s="19" t="s">
        <v>192</v>
      </c>
      <c r="F72" s="21">
        <v>2848</v>
      </c>
      <c r="G72" s="21">
        <v>3258</v>
      </c>
      <c r="H72" s="21">
        <v>3177</v>
      </c>
      <c r="I72" s="21">
        <v>3100</v>
      </c>
      <c r="J72" s="21">
        <v>3023</v>
      </c>
      <c r="K72" s="21">
        <f>2948+2868+21811</f>
        <v>27627</v>
      </c>
      <c r="L72" s="22">
        <f t="shared" si="2"/>
        <v>43033</v>
      </c>
      <c r="M72" s="14"/>
      <c r="N72" s="14"/>
      <c r="O72" s="14"/>
      <c r="P72" s="14"/>
      <c r="Q72" s="14"/>
      <c r="R72" s="14"/>
      <c r="S72" s="14"/>
      <c r="T72" s="14"/>
    </row>
    <row r="73" spans="1:20" s="15" customFormat="1" ht="51">
      <c r="A73" s="11"/>
      <c r="B73" s="20" t="s">
        <v>9</v>
      </c>
      <c r="C73" s="20" t="s">
        <v>308</v>
      </c>
      <c r="D73" s="19" t="s">
        <v>49</v>
      </c>
      <c r="E73" s="19" t="s">
        <v>190</v>
      </c>
      <c r="F73" s="21">
        <v>11950</v>
      </c>
      <c r="G73" s="21">
        <v>11795</v>
      </c>
      <c r="H73" s="21">
        <v>23</v>
      </c>
      <c r="I73" s="21">
        <v>0</v>
      </c>
      <c r="J73" s="21">
        <v>0</v>
      </c>
      <c r="K73" s="21">
        <v>0</v>
      </c>
      <c r="L73" s="22">
        <f t="shared" si="2"/>
        <v>23768</v>
      </c>
      <c r="M73" s="14"/>
      <c r="N73" s="14"/>
      <c r="O73" s="14"/>
      <c r="P73" s="14"/>
      <c r="Q73" s="14"/>
      <c r="R73" s="14"/>
      <c r="S73" s="14"/>
      <c r="T73" s="14"/>
    </row>
    <row r="74" spans="1:20" s="15" customFormat="1" ht="89.25">
      <c r="A74" s="11"/>
      <c r="B74" s="20" t="s">
        <v>9</v>
      </c>
      <c r="C74" s="20" t="s">
        <v>45</v>
      </c>
      <c r="D74" s="19" t="s">
        <v>46</v>
      </c>
      <c r="E74" s="19" t="s">
        <v>189</v>
      </c>
      <c r="F74" s="21">
        <v>11689</v>
      </c>
      <c r="G74" s="21">
        <v>12498</v>
      </c>
      <c r="H74" s="21">
        <v>13103</v>
      </c>
      <c r="I74" s="21">
        <v>11905</v>
      </c>
      <c r="J74" s="21">
        <v>11609</v>
      </c>
      <c r="K74" s="21">
        <f>11320+11015+82866</f>
        <v>105201</v>
      </c>
      <c r="L74" s="22">
        <f t="shared" si="2"/>
        <v>166005</v>
      </c>
      <c r="M74" s="14"/>
      <c r="N74" s="14"/>
      <c r="O74" s="14"/>
      <c r="P74" s="14"/>
      <c r="Q74" s="14"/>
      <c r="R74" s="14"/>
      <c r="S74" s="14"/>
      <c r="T74" s="14"/>
    </row>
    <row r="75" spans="1:20" s="15" customFormat="1" ht="51">
      <c r="A75" s="11"/>
      <c r="B75" s="20" t="s">
        <v>9</v>
      </c>
      <c r="C75" s="20" t="s">
        <v>93</v>
      </c>
      <c r="D75" s="19" t="s">
        <v>46</v>
      </c>
      <c r="E75" s="19" t="s">
        <v>188</v>
      </c>
      <c r="F75" s="21">
        <v>7196</v>
      </c>
      <c r="G75" s="21">
        <v>7104</v>
      </c>
      <c r="H75" s="21">
        <v>5182</v>
      </c>
      <c r="I75" s="21">
        <v>0</v>
      </c>
      <c r="J75" s="21">
        <v>0</v>
      </c>
      <c r="K75" s="21">
        <v>0</v>
      </c>
      <c r="L75" s="22">
        <f t="shared" si="2"/>
        <v>19482</v>
      </c>
      <c r="M75" s="14"/>
      <c r="N75" s="14"/>
      <c r="O75" s="14"/>
      <c r="P75" s="14"/>
      <c r="Q75" s="14"/>
      <c r="R75" s="14"/>
      <c r="S75" s="14"/>
      <c r="T75" s="14"/>
    </row>
    <row r="76" spans="1:34" s="15" customFormat="1" ht="51">
      <c r="A76" s="11"/>
      <c r="B76" s="20" t="s">
        <v>9</v>
      </c>
      <c r="C76" s="20" t="s">
        <v>103</v>
      </c>
      <c r="D76" s="19" t="s">
        <v>46</v>
      </c>
      <c r="E76" s="19" t="s">
        <v>189</v>
      </c>
      <c r="F76" s="21">
        <v>10413</v>
      </c>
      <c r="G76" s="21">
        <v>11134</v>
      </c>
      <c r="H76" s="21">
        <v>10869</v>
      </c>
      <c r="I76" s="21">
        <v>10606</v>
      </c>
      <c r="J76" s="21">
        <v>10342</v>
      </c>
      <c r="K76" s="21">
        <f>10085+9813+74623</f>
        <v>94521</v>
      </c>
      <c r="L76" s="22">
        <f t="shared" si="2"/>
        <v>147885</v>
      </c>
      <c r="M76" s="14"/>
      <c r="N76" s="14"/>
      <c r="O76" s="14"/>
      <c r="P76" s="14"/>
      <c r="Q76" s="14"/>
      <c r="R76" s="14"/>
      <c r="S76" s="14"/>
      <c r="T76" s="14"/>
      <c r="AH76" s="41"/>
    </row>
    <row r="77" spans="1:20" s="15" customFormat="1" ht="51">
      <c r="A77" s="11"/>
      <c r="B77" s="20" t="s">
        <v>9</v>
      </c>
      <c r="C77" s="20" t="s">
        <v>309</v>
      </c>
      <c r="D77" s="19" t="s">
        <v>44</v>
      </c>
      <c r="E77" s="19" t="s">
        <v>187</v>
      </c>
      <c r="F77" s="21">
        <v>9711</v>
      </c>
      <c r="G77" s="21">
        <v>4</v>
      </c>
      <c r="H77" s="21">
        <v>0</v>
      </c>
      <c r="I77" s="21">
        <v>0</v>
      </c>
      <c r="J77" s="21">
        <v>0</v>
      </c>
      <c r="K77" s="21">
        <v>0</v>
      </c>
      <c r="L77" s="22">
        <f t="shared" si="2"/>
        <v>9715</v>
      </c>
      <c r="M77" s="14"/>
      <c r="N77" s="14"/>
      <c r="O77" s="14"/>
      <c r="P77" s="14"/>
      <c r="Q77" s="14"/>
      <c r="R77" s="14"/>
      <c r="S77" s="14"/>
      <c r="T77" s="14"/>
    </row>
    <row r="78" spans="1:20" s="15" customFormat="1" ht="51">
      <c r="A78" s="11"/>
      <c r="B78" s="20" t="s">
        <v>9</v>
      </c>
      <c r="C78" s="20" t="s">
        <v>310</v>
      </c>
      <c r="D78" s="19" t="s">
        <v>56</v>
      </c>
      <c r="E78" s="19" t="s">
        <v>186</v>
      </c>
      <c r="F78" s="21">
        <v>61734</v>
      </c>
      <c r="G78" s="21">
        <v>64681</v>
      </c>
      <c r="H78" s="21">
        <v>63280</v>
      </c>
      <c r="I78" s="21">
        <v>61550</v>
      </c>
      <c r="J78" s="21">
        <v>59815</v>
      </c>
      <c r="K78" s="21">
        <f>58105+56342+211979</f>
        <v>326426</v>
      </c>
      <c r="L78" s="22">
        <f t="shared" si="2"/>
        <v>637486</v>
      </c>
      <c r="M78" s="14"/>
      <c r="N78" s="14"/>
      <c r="O78" s="14"/>
      <c r="P78" s="14"/>
      <c r="Q78" s="14"/>
      <c r="R78" s="14"/>
      <c r="S78" s="14"/>
      <c r="T78" s="14"/>
    </row>
    <row r="79" spans="1:20" s="15" customFormat="1" ht="38.25">
      <c r="A79" s="11"/>
      <c r="B79" s="20" t="s">
        <v>9</v>
      </c>
      <c r="C79" s="20" t="s">
        <v>183</v>
      </c>
      <c r="D79" s="19" t="s">
        <v>184</v>
      </c>
      <c r="E79" s="19" t="s">
        <v>185</v>
      </c>
      <c r="F79" s="21">
        <v>43984</v>
      </c>
      <c r="G79" s="21">
        <v>52025</v>
      </c>
      <c r="H79" s="21">
        <v>50757</v>
      </c>
      <c r="I79" s="21">
        <v>49541</v>
      </c>
      <c r="J79" s="21">
        <v>48323</v>
      </c>
      <c r="K79" s="21">
        <f>47139+42898+369770</f>
        <v>459807</v>
      </c>
      <c r="L79" s="22">
        <f t="shared" si="2"/>
        <v>704437</v>
      </c>
      <c r="M79" s="14"/>
      <c r="N79" s="14"/>
      <c r="O79" s="14"/>
      <c r="P79" s="14"/>
      <c r="Q79" s="14"/>
      <c r="R79" s="14"/>
      <c r="S79" s="14"/>
      <c r="T79" s="14"/>
    </row>
    <row r="80" spans="1:20" s="15" customFormat="1" ht="51">
      <c r="A80" s="11"/>
      <c r="B80" s="20" t="s">
        <v>9</v>
      </c>
      <c r="C80" s="20" t="s">
        <v>47</v>
      </c>
      <c r="D80" s="19" t="s">
        <v>181</v>
      </c>
      <c r="E80" s="19" t="s">
        <v>182</v>
      </c>
      <c r="F80" s="21">
        <v>121450</v>
      </c>
      <c r="G80" s="21">
        <v>150373</v>
      </c>
      <c r="H80" s="21">
        <v>147341</v>
      </c>
      <c r="I80" s="21">
        <v>144509</v>
      </c>
      <c r="J80" s="21">
        <v>141669</v>
      </c>
      <c r="K80" s="21">
        <f>138990+136971+2084074</f>
        <v>2360035</v>
      </c>
      <c r="L80" s="22">
        <f t="shared" si="2"/>
        <v>3065377</v>
      </c>
      <c r="M80" s="14"/>
      <c r="N80" s="14"/>
      <c r="O80" s="14"/>
      <c r="P80" s="14"/>
      <c r="Q80" s="14"/>
      <c r="R80" s="14"/>
      <c r="S80" s="14"/>
      <c r="T80" s="14"/>
    </row>
    <row r="81" spans="1:20" s="15" customFormat="1" ht="63.75">
      <c r="A81" s="11"/>
      <c r="B81" s="20" t="s">
        <v>9</v>
      </c>
      <c r="C81" s="20" t="s">
        <v>50</v>
      </c>
      <c r="D81" s="19" t="s">
        <v>51</v>
      </c>
      <c r="E81" s="19" t="s">
        <v>179</v>
      </c>
      <c r="F81" s="21">
        <v>7470</v>
      </c>
      <c r="G81" s="21">
        <v>8412</v>
      </c>
      <c r="H81" s="21">
        <v>8209</v>
      </c>
      <c r="I81" s="21">
        <v>8015</v>
      </c>
      <c r="J81" s="21">
        <v>7820</v>
      </c>
      <c r="K81" s="21">
        <f>7631+7430+62263</f>
        <v>77324</v>
      </c>
      <c r="L81" s="22">
        <f t="shared" si="2"/>
        <v>117250</v>
      </c>
      <c r="M81" s="14"/>
      <c r="N81" s="14"/>
      <c r="O81" s="14"/>
      <c r="P81" s="14"/>
      <c r="Q81" s="14"/>
      <c r="R81" s="14"/>
      <c r="S81" s="14"/>
      <c r="T81" s="14"/>
    </row>
    <row r="82" spans="1:20" s="15" customFormat="1" ht="76.5">
      <c r="A82" s="11"/>
      <c r="B82" s="20" t="s">
        <v>9</v>
      </c>
      <c r="C82" s="20" t="s">
        <v>52</v>
      </c>
      <c r="D82" s="19" t="s">
        <v>51</v>
      </c>
      <c r="E82" s="19" t="s">
        <v>180</v>
      </c>
      <c r="F82" s="21">
        <v>2579</v>
      </c>
      <c r="G82" s="21">
        <v>2718</v>
      </c>
      <c r="H82" s="21">
        <v>2637</v>
      </c>
      <c r="I82" s="21">
        <v>2559</v>
      </c>
      <c r="J82" s="21">
        <v>2480</v>
      </c>
      <c r="K82" s="21">
        <f>2401+2322+2245</f>
        <v>6968</v>
      </c>
      <c r="L82" s="22">
        <f t="shared" si="2"/>
        <v>19941</v>
      </c>
      <c r="M82" s="14"/>
      <c r="N82" s="14"/>
      <c r="O82" s="14"/>
      <c r="P82" s="14"/>
      <c r="Q82" s="14"/>
      <c r="R82" s="14"/>
      <c r="S82" s="14"/>
      <c r="T82" s="14"/>
    </row>
    <row r="83" spans="1:20" s="15" customFormat="1" ht="63.75">
      <c r="A83" s="11"/>
      <c r="B83" s="20" t="s">
        <v>9</v>
      </c>
      <c r="C83" s="20" t="s">
        <v>53</v>
      </c>
      <c r="D83" s="19" t="s">
        <v>51</v>
      </c>
      <c r="E83" s="19" t="s">
        <v>180</v>
      </c>
      <c r="F83" s="21">
        <v>1801</v>
      </c>
      <c r="G83" s="21">
        <v>1898</v>
      </c>
      <c r="H83" s="21">
        <v>1842</v>
      </c>
      <c r="I83" s="21">
        <v>1787</v>
      </c>
      <c r="J83" s="21">
        <v>1732</v>
      </c>
      <c r="K83" s="21">
        <f>1677+1622+1570</f>
        <v>4869</v>
      </c>
      <c r="L83" s="22">
        <f t="shared" si="2"/>
        <v>13929</v>
      </c>
      <c r="M83" s="14"/>
      <c r="N83" s="14"/>
      <c r="O83" s="14"/>
      <c r="P83" s="14"/>
      <c r="Q83" s="14"/>
      <c r="R83" s="14"/>
      <c r="S83" s="14"/>
      <c r="T83" s="14"/>
    </row>
    <row r="84" spans="1:20" s="15" customFormat="1" ht="89.25">
      <c r="A84" s="11"/>
      <c r="B84" s="20" t="s">
        <v>9</v>
      </c>
      <c r="C84" s="20" t="s">
        <v>54</v>
      </c>
      <c r="D84" s="19" t="s">
        <v>51</v>
      </c>
      <c r="E84" s="19" t="s">
        <v>180</v>
      </c>
      <c r="F84" s="21">
        <v>3583</v>
      </c>
      <c r="G84" s="21">
        <v>3777</v>
      </c>
      <c r="H84" s="21">
        <v>3665</v>
      </c>
      <c r="I84" s="21">
        <v>3556</v>
      </c>
      <c r="J84" s="21">
        <v>3446</v>
      </c>
      <c r="K84" s="21">
        <f>3337+3226+3122</f>
        <v>9685</v>
      </c>
      <c r="L84" s="22">
        <f t="shared" si="2"/>
        <v>27712</v>
      </c>
      <c r="M84" s="14"/>
      <c r="N84" s="14"/>
      <c r="O84" s="14"/>
      <c r="P84" s="14"/>
      <c r="Q84" s="14"/>
      <c r="R84" s="14"/>
      <c r="S84" s="14"/>
      <c r="T84" s="14"/>
    </row>
    <row r="85" spans="1:20" s="15" customFormat="1" ht="63.75">
      <c r="A85" s="11"/>
      <c r="B85" s="20" t="s">
        <v>9</v>
      </c>
      <c r="C85" s="20" t="s">
        <v>20</v>
      </c>
      <c r="D85" s="19" t="s">
        <v>51</v>
      </c>
      <c r="E85" s="19" t="s">
        <v>179</v>
      </c>
      <c r="F85" s="21">
        <v>5007</v>
      </c>
      <c r="G85" s="21">
        <v>5655</v>
      </c>
      <c r="H85" s="21">
        <v>5551</v>
      </c>
      <c r="I85" s="21">
        <v>5428</v>
      </c>
      <c r="J85" s="21">
        <v>5285</v>
      </c>
      <c r="K85" s="21">
        <f>5155+5017+41964</f>
        <v>52136</v>
      </c>
      <c r="L85" s="22">
        <f t="shared" si="2"/>
        <v>79062</v>
      </c>
      <c r="M85" s="14"/>
      <c r="N85" s="14"/>
      <c r="O85" s="14"/>
      <c r="P85" s="14"/>
      <c r="Q85" s="14"/>
      <c r="R85" s="14"/>
      <c r="S85" s="14"/>
      <c r="T85" s="14"/>
    </row>
    <row r="86" spans="1:20" s="15" customFormat="1" ht="38.25">
      <c r="A86" s="11"/>
      <c r="B86" s="20" t="s">
        <v>9</v>
      </c>
      <c r="C86" s="20" t="s">
        <v>177</v>
      </c>
      <c r="D86" s="19" t="s">
        <v>17</v>
      </c>
      <c r="E86" s="19" t="s">
        <v>178</v>
      </c>
      <c r="F86" s="21">
        <v>983</v>
      </c>
      <c r="G86" s="21">
        <v>981</v>
      </c>
      <c r="H86" s="21">
        <v>1004</v>
      </c>
      <c r="I86" s="21">
        <v>2</v>
      </c>
      <c r="J86" s="21">
        <v>0</v>
      </c>
      <c r="K86" s="21">
        <v>0</v>
      </c>
      <c r="L86" s="22">
        <f t="shared" si="2"/>
        <v>2970</v>
      </c>
      <c r="M86" s="14"/>
      <c r="N86" s="14"/>
      <c r="O86" s="14"/>
      <c r="P86" s="14"/>
      <c r="Q86" s="14"/>
      <c r="R86" s="14"/>
      <c r="S86" s="14"/>
      <c r="T86" s="14"/>
    </row>
    <row r="87" spans="1:20" s="15" customFormat="1" ht="63.75">
      <c r="A87" s="11"/>
      <c r="B87" s="20" t="s">
        <v>9</v>
      </c>
      <c r="C87" s="20" t="s">
        <v>175</v>
      </c>
      <c r="D87" s="19" t="s">
        <v>22</v>
      </c>
      <c r="E87" s="19" t="s">
        <v>176</v>
      </c>
      <c r="F87" s="21">
        <v>1291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2">
        <f t="shared" si="2"/>
        <v>1291</v>
      </c>
      <c r="M87" s="14"/>
      <c r="N87" s="14"/>
      <c r="O87" s="14"/>
      <c r="P87" s="14"/>
      <c r="Q87" s="14"/>
      <c r="R87" s="14"/>
      <c r="S87" s="14"/>
      <c r="T87" s="14"/>
    </row>
    <row r="88" spans="1:20" s="15" customFormat="1" ht="76.5">
      <c r="A88" s="11"/>
      <c r="B88" s="20" t="s">
        <v>9</v>
      </c>
      <c r="C88" s="20" t="s">
        <v>84</v>
      </c>
      <c r="D88" s="19" t="s">
        <v>85</v>
      </c>
      <c r="E88" s="19" t="s">
        <v>174</v>
      </c>
      <c r="F88" s="21">
        <v>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2">
        <f t="shared" si="2"/>
        <v>5</v>
      </c>
      <c r="M88" s="14"/>
      <c r="N88" s="14"/>
      <c r="O88" s="14"/>
      <c r="P88" s="14"/>
      <c r="Q88" s="14"/>
      <c r="R88" s="14"/>
      <c r="S88" s="14"/>
      <c r="T88" s="14"/>
    </row>
    <row r="89" spans="1:20" s="15" customFormat="1" ht="102">
      <c r="A89" s="11"/>
      <c r="B89" s="20" t="s">
        <v>9</v>
      </c>
      <c r="C89" s="20" t="s">
        <v>315</v>
      </c>
      <c r="D89" s="19" t="s">
        <v>85</v>
      </c>
      <c r="E89" s="19" t="s">
        <v>174</v>
      </c>
      <c r="F89" s="21">
        <v>16773</v>
      </c>
      <c r="G89" s="21">
        <v>16731</v>
      </c>
      <c r="H89" s="21">
        <v>4178</v>
      </c>
      <c r="I89" s="21">
        <v>0</v>
      </c>
      <c r="J89" s="21">
        <v>0</v>
      </c>
      <c r="K89" s="21">
        <v>0</v>
      </c>
      <c r="L89" s="22">
        <f t="shared" si="2"/>
        <v>37682</v>
      </c>
      <c r="M89" s="14"/>
      <c r="N89" s="14"/>
      <c r="O89" s="14"/>
      <c r="P89" s="14"/>
      <c r="Q89" s="14"/>
      <c r="R89" s="14"/>
      <c r="S89" s="14"/>
      <c r="T89" s="14"/>
    </row>
    <row r="90" spans="1:20" s="15" customFormat="1" ht="63.75">
      <c r="A90" s="11"/>
      <c r="B90" s="20" t="s">
        <v>9</v>
      </c>
      <c r="C90" s="20" t="s">
        <v>311</v>
      </c>
      <c r="D90" s="19" t="s">
        <v>71</v>
      </c>
      <c r="E90" s="19" t="s">
        <v>173</v>
      </c>
      <c r="F90" s="21">
        <v>20624</v>
      </c>
      <c r="G90" s="21">
        <v>2</v>
      </c>
      <c r="H90" s="21">
        <v>0</v>
      </c>
      <c r="I90" s="21">
        <v>0</v>
      </c>
      <c r="J90" s="21">
        <v>0</v>
      </c>
      <c r="K90" s="21">
        <v>0</v>
      </c>
      <c r="L90" s="22">
        <f t="shared" si="2"/>
        <v>20626</v>
      </c>
      <c r="M90" s="14"/>
      <c r="N90" s="14"/>
      <c r="O90" s="14"/>
      <c r="P90" s="14"/>
      <c r="Q90" s="14"/>
      <c r="R90" s="14"/>
      <c r="S90" s="14"/>
      <c r="T90" s="14"/>
    </row>
    <row r="91" spans="1:20" s="15" customFormat="1" ht="76.5">
      <c r="A91" s="11"/>
      <c r="B91" s="20" t="s">
        <v>9</v>
      </c>
      <c r="C91" s="20" t="s">
        <v>292</v>
      </c>
      <c r="D91" s="19" t="s">
        <v>293</v>
      </c>
      <c r="E91" s="19" t="s">
        <v>294</v>
      </c>
      <c r="F91" s="21">
        <v>19463</v>
      </c>
      <c r="G91" s="21">
        <v>23575</v>
      </c>
      <c r="H91" s="21">
        <v>22913</v>
      </c>
      <c r="I91" s="21">
        <v>22281</v>
      </c>
      <c r="J91" s="21">
        <v>21647</v>
      </c>
      <c r="K91" s="21">
        <f>21033+20377+175748</f>
        <v>217158</v>
      </c>
      <c r="L91" s="22">
        <f t="shared" si="2"/>
        <v>327037</v>
      </c>
      <c r="M91" s="14"/>
      <c r="N91" s="14"/>
      <c r="O91" s="14"/>
      <c r="P91" s="14"/>
      <c r="Q91" s="14"/>
      <c r="R91" s="14"/>
      <c r="S91" s="14"/>
      <c r="T91" s="14"/>
    </row>
    <row r="92" spans="1:20" s="15" customFormat="1" ht="63.75">
      <c r="A92" s="11"/>
      <c r="B92" s="20" t="s">
        <v>9</v>
      </c>
      <c r="C92" s="20" t="s">
        <v>124</v>
      </c>
      <c r="D92" s="19" t="s">
        <v>125</v>
      </c>
      <c r="E92" s="19" t="s">
        <v>172</v>
      </c>
      <c r="F92" s="21">
        <v>1655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2">
        <f t="shared" si="2"/>
        <v>1655</v>
      </c>
      <c r="M92" s="14"/>
      <c r="N92" s="14"/>
      <c r="O92" s="14"/>
      <c r="P92" s="14"/>
      <c r="Q92" s="14"/>
      <c r="R92" s="14"/>
      <c r="S92" s="14"/>
      <c r="T92" s="14"/>
    </row>
    <row r="93" spans="1:20" s="15" customFormat="1" ht="63.75">
      <c r="A93" s="11"/>
      <c r="B93" s="20" t="s">
        <v>9</v>
      </c>
      <c r="C93" s="20" t="s">
        <v>126</v>
      </c>
      <c r="D93" s="19" t="s">
        <v>125</v>
      </c>
      <c r="E93" s="19" t="s">
        <v>172</v>
      </c>
      <c r="F93" s="21">
        <v>2883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2">
        <f t="shared" si="2"/>
        <v>2883</v>
      </c>
      <c r="M93" s="14"/>
      <c r="N93" s="14"/>
      <c r="O93" s="14"/>
      <c r="P93" s="14"/>
      <c r="Q93" s="14"/>
      <c r="R93" s="14"/>
      <c r="S93" s="14"/>
      <c r="T93" s="14"/>
    </row>
    <row r="94" spans="1:20" s="15" customFormat="1" ht="76.5">
      <c r="A94" s="11"/>
      <c r="B94" s="20" t="s">
        <v>9</v>
      </c>
      <c r="C94" s="20" t="s">
        <v>128</v>
      </c>
      <c r="D94" s="19" t="s">
        <v>125</v>
      </c>
      <c r="E94" s="19" t="s">
        <v>172</v>
      </c>
      <c r="F94" s="21">
        <v>2753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2">
        <f t="shared" si="2"/>
        <v>2753</v>
      </c>
      <c r="M94" s="14"/>
      <c r="N94" s="14"/>
      <c r="O94" s="14"/>
      <c r="P94" s="14"/>
      <c r="Q94" s="14"/>
      <c r="R94" s="14"/>
      <c r="S94" s="14"/>
      <c r="T94" s="14"/>
    </row>
    <row r="95" spans="1:20" s="15" customFormat="1" ht="63.75">
      <c r="A95" s="11"/>
      <c r="B95" s="20" t="s">
        <v>9</v>
      </c>
      <c r="C95" s="20" t="s">
        <v>122</v>
      </c>
      <c r="D95" s="19" t="s">
        <v>123</v>
      </c>
      <c r="E95" s="19" t="s">
        <v>171</v>
      </c>
      <c r="F95" s="21">
        <v>5874</v>
      </c>
      <c r="G95" s="21">
        <v>6482</v>
      </c>
      <c r="H95" s="21">
        <v>6278</v>
      </c>
      <c r="I95" s="21">
        <v>6077</v>
      </c>
      <c r="J95" s="21">
        <v>5876</v>
      </c>
      <c r="K95" s="21">
        <f>5675+5473+3975</f>
        <v>15123</v>
      </c>
      <c r="L95" s="22">
        <f t="shared" si="2"/>
        <v>45710</v>
      </c>
      <c r="M95" s="14"/>
      <c r="N95" s="14"/>
      <c r="O95" s="14"/>
      <c r="P95" s="14"/>
      <c r="Q95" s="14"/>
      <c r="R95" s="14"/>
      <c r="S95" s="14"/>
      <c r="T95" s="14"/>
    </row>
    <row r="96" spans="1:20" s="15" customFormat="1" ht="63.75">
      <c r="A96" s="11"/>
      <c r="B96" s="20" t="s">
        <v>9</v>
      </c>
      <c r="C96" s="20" t="s">
        <v>127</v>
      </c>
      <c r="D96" s="19" t="s">
        <v>123</v>
      </c>
      <c r="E96" s="19" t="s">
        <v>170</v>
      </c>
      <c r="F96" s="21">
        <v>1945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2">
        <f t="shared" si="2"/>
        <v>1945</v>
      </c>
      <c r="M96" s="14"/>
      <c r="N96" s="14"/>
      <c r="O96" s="14"/>
      <c r="P96" s="14"/>
      <c r="Q96" s="14"/>
      <c r="R96" s="14"/>
      <c r="S96" s="14"/>
      <c r="T96" s="14"/>
    </row>
    <row r="97" spans="1:20" s="15" customFormat="1" ht="38.25">
      <c r="A97" s="11"/>
      <c r="B97" s="20" t="s">
        <v>9</v>
      </c>
      <c r="C97" s="20" t="s">
        <v>312</v>
      </c>
      <c r="D97" s="19" t="s">
        <v>75</v>
      </c>
      <c r="E97" s="19" t="s">
        <v>169</v>
      </c>
      <c r="F97" s="21">
        <v>13179</v>
      </c>
      <c r="G97" s="21">
        <v>14134</v>
      </c>
      <c r="H97" s="21">
        <v>13441</v>
      </c>
      <c r="I97" s="21">
        <v>12297</v>
      </c>
      <c r="J97" s="21">
        <v>11886</v>
      </c>
      <c r="K97" s="21">
        <f>11477+11063+8040</f>
        <v>30580</v>
      </c>
      <c r="L97" s="22">
        <f>SUM(F97:K97)</f>
        <v>95517</v>
      </c>
      <c r="M97" s="14"/>
      <c r="N97" s="14"/>
      <c r="O97" s="14"/>
      <c r="P97" s="14"/>
      <c r="Q97" s="14"/>
      <c r="R97" s="14"/>
      <c r="S97" s="14"/>
      <c r="T97" s="14"/>
    </row>
    <row r="98" spans="1:20" s="15" customFormat="1" ht="89.25">
      <c r="A98" s="11"/>
      <c r="B98" s="20" t="s">
        <v>9</v>
      </c>
      <c r="C98" s="20" t="s">
        <v>313</v>
      </c>
      <c r="D98" s="19" t="s">
        <v>75</v>
      </c>
      <c r="E98" s="19" t="s">
        <v>168</v>
      </c>
      <c r="F98" s="21">
        <v>9329</v>
      </c>
      <c r="G98" s="21">
        <v>9306</v>
      </c>
      <c r="H98" s="21">
        <v>6964</v>
      </c>
      <c r="I98" s="21">
        <v>0</v>
      </c>
      <c r="J98" s="21">
        <v>0</v>
      </c>
      <c r="K98" s="21">
        <v>0</v>
      </c>
      <c r="L98" s="22">
        <f t="shared" si="2"/>
        <v>25599</v>
      </c>
      <c r="M98" s="14"/>
      <c r="N98" s="14"/>
      <c r="O98" s="14"/>
      <c r="P98" s="14"/>
      <c r="Q98" s="14"/>
      <c r="R98" s="14"/>
      <c r="S98" s="14"/>
      <c r="T98" s="14"/>
    </row>
    <row r="99" spans="1:20" s="15" customFormat="1" ht="51">
      <c r="A99" s="11"/>
      <c r="B99" s="20" t="s">
        <v>9</v>
      </c>
      <c r="C99" s="20" t="s">
        <v>167</v>
      </c>
      <c r="D99" s="19" t="s">
        <v>120</v>
      </c>
      <c r="E99" s="19" t="s">
        <v>166</v>
      </c>
      <c r="F99" s="21">
        <v>13682</v>
      </c>
      <c r="G99" s="21">
        <v>14561</v>
      </c>
      <c r="H99" s="21">
        <v>14190</v>
      </c>
      <c r="I99" s="21">
        <v>13835</v>
      </c>
      <c r="J99" s="21">
        <v>13480</v>
      </c>
      <c r="K99" s="21">
        <f>13136+12769+114874</f>
        <v>140779</v>
      </c>
      <c r="L99" s="22">
        <f t="shared" si="2"/>
        <v>210527</v>
      </c>
      <c r="M99" s="14"/>
      <c r="N99" s="14"/>
      <c r="O99" s="14"/>
      <c r="P99" s="14"/>
      <c r="Q99" s="14"/>
      <c r="R99" s="14"/>
      <c r="S99" s="14"/>
      <c r="T99" s="14"/>
    </row>
    <row r="100" spans="1:20" s="15" customFormat="1" ht="38.25">
      <c r="A100" s="11"/>
      <c r="B100" s="20" t="s">
        <v>9</v>
      </c>
      <c r="C100" s="20" t="s">
        <v>106</v>
      </c>
      <c r="D100" s="19" t="s">
        <v>165</v>
      </c>
      <c r="E100" s="19" t="s">
        <v>166</v>
      </c>
      <c r="F100" s="21">
        <v>5367</v>
      </c>
      <c r="G100" s="21">
        <v>5859</v>
      </c>
      <c r="H100" s="21">
        <v>5718</v>
      </c>
      <c r="I100" s="21">
        <v>5576</v>
      </c>
      <c r="J100" s="21">
        <v>5433</v>
      </c>
      <c r="K100" s="21">
        <f>5295+5147+46329</f>
        <v>56771</v>
      </c>
      <c r="L100" s="22">
        <f t="shared" si="2"/>
        <v>84724</v>
      </c>
      <c r="M100" s="14"/>
      <c r="N100" s="14"/>
      <c r="O100" s="14"/>
      <c r="P100" s="14"/>
      <c r="Q100" s="14"/>
      <c r="R100" s="14"/>
      <c r="S100" s="14"/>
      <c r="T100" s="14"/>
    </row>
    <row r="101" spans="1:20" s="15" customFormat="1" ht="63.75">
      <c r="A101" s="11"/>
      <c r="B101" s="20" t="s">
        <v>9</v>
      </c>
      <c r="C101" s="20" t="s">
        <v>20</v>
      </c>
      <c r="D101" s="19" t="s">
        <v>21</v>
      </c>
      <c r="E101" s="19" t="s">
        <v>164</v>
      </c>
      <c r="F101" s="21">
        <v>56471</v>
      </c>
      <c r="G101" s="21">
        <v>56024</v>
      </c>
      <c r="H101" s="21">
        <v>55560</v>
      </c>
      <c r="I101" s="21">
        <v>55106</v>
      </c>
      <c r="J101" s="21">
        <v>54649</v>
      </c>
      <c r="K101" s="21">
        <f>54196+53736+53287</f>
        <v>161219</v>
      </c>
      <c r="L101" s="22">
        <f t="shared" si="2"/>
        <v>439029</v>
      </c>
      <c r="M101" s="14"/>
      <c r="N101" s="14"/>
      <c r="O101" s="14"/>
      <c r="P101" s="14"/>
      <c r="Q101" s="14"/>
      <c r="R101" s="14"/>
      <c r="S101" s="14"/>
      <c r="T101" s="14"/>
    </row>
    <row r="102" spans="1:20" s="15" customFormat="1" ht="63.75">
      <c r="A102" s="11"/>
      <c r="B102" s="20" t="s">
        <v>9</v>
      </c>
      <c r="C102" s="20" t="s">
        <v>20</v>
      </c>
      <c r="D102" s="19" t="s">
        <v>21</v>
      </c>
      <c r="E102" s="19" t="s">
        <v>164</v>
      </c>
      <c r="F102" s="21">
        <v>15009</v>
      </c>
      <c r="G102" s="21">
        <v>16007</v>
      </c>
      <c r="H102" s="21">
        <v>15647</v>
      </c>
      <c r="I102" s="21">
        <v>15228</v>
      </c>
      <c r="J102" s="21">
        <v>14808</v>
      </c>
      <c r="K102" s="21">
        <f>14402+13968+125990</f>
        <v>154360</v>
      </c>
      <c r="L102" s="22">
        <f>SUM(F102:K102)</f>
        <v>231059</v>
      </c>
      <c r="M102" s="14"/>
      <c r="N102" s="14"/>
      <c r="O102" s="14"/>
      <c r="P102" s="14"/>
      <c r="Q102" s="14"/>
      <c r="R102" s="14"/>
      <c r="S102" s="14"/>
      <c r="T102" s="14"/>
    </row>
    <row r="103" spans="1:20" s="15" customFormat="1" ht="38.25">
      <c r="A103" s="11"/>
      <c r="B103" s="20" t="s">
        <v>9</v>
      </c>
      <c r="C103" s="20" t="s">
        <v>113</v>
      </c>
      <c r="D103" s="19" t="s">
        <v>21</v>
      </c>
      <c r="E103" s="19" t="s">
        <v>163</v>
      </c>
      <c r="F103" s="21">
        <v>9583</v>
      </c>
      <c r="G103" s="21">
        <v>9559</v>
      </c>
      <c r="H103" s="21">
        <v>9534</v>
      </c>
      <c r="I103" s="21">
        <v>9509</v>
      </c>
      <c r="J103" s="21">
        <v>9488</v>
      </c>
      <c r="K103" s="21">
        <f>9464+9440+9420</f>
        <v>28324</v>
      </c>
      <c r="L103" s="22">
        <f t="shared" si="2"/>
        <v>75997</v>
      </c>
      <c r="M103" s="14"/>
      <c r="N103" s="14"/>
      <c r="O103" s="14"/>
      <c r="P103" s="14"/>
      <c r="Q103" s="14"/>
      <c r="R103" s="14"/>
      <c r="S103" s="14"/>
      <c r="T103" s="14"/>
    </row>
    <row r="104" spans="1:20" s="15" customFormat="1" ht="76.5">
      <c r="A104" s="11"/>
      <c r="B104" s="20" t="s">
        <v>9</v>
      </c>
      <c r="C104" s="20" t="s">
        <v>116</v>
      </c>
      <c r="D104" s="19" t="s">
        <v>21</v>
      </c>
      <c r="E104" s="19" t="s">
        <v>164</v>
      </c>
      <c r="F104" s="21">
        <v>4559</v>
      </c>
      <c r="G104" s="21">
        <v>4900</v>
      </c>
      <c r="H104" s="21">
        <v>4802</v>
      </c>
      <c r="I104" s="21">
        <v>4683</v>
      </c>
      <c r="J104" s="21">
        <v>4565</v>
      </c>
      <c r="K104" s="21">
        <f>4450+4327+39788</f>
        <v>48565</v>
      </c>
      <c r="L104" s="22">
        <f t="shared" si="2"/>
        <v>72074</v>
      </c>
      <c r="M104" s="14"/>
      <c r="N104" s="14"/>
      <c r="O104" s="14"/>
      <c r="P104" s="14"/>
      <c r="Q104" s="14"/>
      <c r="R104" s="14"/>
      <c r="S104" s="14"/>
      <c r="T104" s="14"/>
    </row>
    <row r="105" spans="1:20" s="15" customFormat="1" ht="25.5">
      <c r="A105" s="11"/>
      <c r="B105" s="20" t="s">
        <v>9</v>
      </c>
      <c r="C105" s="20" t="s">
        <v>114</v>
      </c>
      <c r="D105" s="19" t="s">
        <v>115</v>
      </c>
      <c r="E105" s="19" t="s">
        <v>163</v>
      </c>
      <c r="F105" s="21">
        <v>19443</v>
      </c>
      <c r="G105" s="21">
        <v>19841</v>
      </c>
      <c r="H105" s="21">
        <v>19275</v>
      </c>
      <c r="I105" s="21">
        <v>18659</v>
      </c>
      <c r="J105" s="21">
        <v>18042</v>
      </c>
      <c r="K105" s="21">
        <f>17428+16806+16195</f>
        <v>50429</v>
      </c>
      <c r="L105" s="22">
        <f t="shared" si="2"/>
        <v>145689</v>
      </c>
      <c r="M105" s="14"/>
      <c r="N105" s="14"/>
      <c r="O105" s="14"/>
      <c r="P105" s="14"/>
      <c r="Q105" s="14"/>
      <c r="R105" s="14"/>
      <c r="S105" s="14"/>
      <c r="T105" s="14"/>
    </row>
    <row r="106" spans="1:20" s="15" customFormat="1" ht="63.75">
      <c r="A106" s="11"/>
      <c r="B106" s="20" t="s">
        <v>9</v>
      </c>
      <c r="C106" s="20" t="s">
        <v>59</v>
      </c>
      <c r="D106" s="19" t="s">
        <v>60</v>
      </c>
      <c r="E106" s="19" t="s">
        <v>162</v>
      </c>
      <c r="F106" s="21">
        <v>18345</v>
      </c>
      <c r="G106" s="21">
        <v>18300</v>
      </c>
      <c r="H106" s="21">
        <v>18254</v>
      </c>
      <c r="I106" s="21">
        <v>18208</v>
      </c>
      <c r="J106" s="21">
        <v>18163</v>
      </c>
      <c r="K106" s="21">
        <f>18117+18072+22525</f>
        <v>58714</v>
      </c>
      <c r="L106" s="22">
        <f t="shared" si="2"/>
        <v>149984</v>
      </c>
      <c r="M106" s="14"/>
      <c r="N106" s="14"/>
      <c r="O106" s="14"/>
      <c r="P106" s="14"/>
      <c r="Q106" s="14"/>
      <c r="R106" s="14"/>
      <c r="S106" s="14"/>
      <c r="T106" s="14"/>
    </row>
    <row r="107" spans="1:20" s="15" customFormat="1" ht="63.75">
      <c r="A107" s="11"/>
      <c r="B107" s="20" t="s">
        <v>9</v>
      </c>
      <c r="C107" s="20" t="s">
        <v>65</v>
      </c>
      <c r="D107" s="19" t="s">
        <v>66</v>
      </c>
      <c r="E107" s="19" t="s">
        <v>160</v>
      </c>
      <c r="F107" s="21">
        <v>86220</v>
      </c>
      <c r="G107" s="21">
        <v>114450</v>
      </c>
      <c r="H107" s="21">
        <v>101147</v>
      </c>
      <c r="I107" s="21">
        <v>97606</v>
      </c>
      <c r="J107" s="21">
        <v>95515</v>
      </c>
      <c r="K107" s="21">
        <f>93557+91338+1437328</f>
        <v>1622223</v>
      </c>
      <c r="L107" s="22">
        <f t="shared" si="2"/>
        <v>2117161</v>
      </c>
      <c r="M107" s="14"/>
      <c r="N107" s="14"/>
      <c r="O107" s="14"/>
      <c r="P107" s="14"/>
      <c r="Q107" s="14"/>
      <c r="R107" s="14"/>
      <c r="S107" s="14"/>
      <c r="T107" s="14"/>
    </row>
    <row r="108" spans="1:20" s="15" customFormat="1" ht="63.75">
      <c r="A108" s="11"/>
      <c r="B108" s="20" t="s">
        <v>9</v>
      </c>
      <c r="C108" s="20" t="s">
        <v>67</v>
      </c>
      <c r="D108" s="19" t="s">
        <v>159</v>
      </c>
      <c r="E108" s="19" t="s">
        <v>160</v>
      </c>
      <c r="F108" s="21">
        <v>16147</v>
      </c>
      <c r="G108" s="21">
        <v>20361</v>
      </c>
      <c r="H108" s="21">
        <v>19942</v>
      </c>
      <c r="I108" s="21">
        <v>19553</v>
      </c>
      <c r="J108" s="21">
        <v>19163</v>
      </c>
      <c r="K108" s="21">
        <f>18796+18382+298476</f>
        <v>335654</v>
      </c>
      <c r="L108" s="22">
        <f t="shared" si="2"/>
        <v>430820</v>
      </c>
      <c r="M108" s="14"/>
      <c r="N108" s="14"/>
      <c r="O108" s="14"/>
      <c r="P108" s="14"/>
      <c r="Q108" s="14"/>
      <c r="R108" s="14"/>
      <c r="S108" s="14"/>
      <c r="T108" s="14"/>
    </row>
    <row r="109" spans="1:20" s="15" customFormat="1" ht="38.25">
      <c r="A109" s="11"/>
      <c r="B109" s="20" t="s">
        <v>9</v>
      </c>
      <c r="C109" s="20" t="s">
        <v>156</v>
      </c>
      <c r="D109" s="19" t="s">
        <v>157</v>
      </c>
      <c r="E109" s="19" t="s">
        <v>158</v>
      </c>
      <c r="F109" s="21">
        <v>301580</v>
      </c>
      <c r="G109" s="21">
        <v>314413</v>
      </c>
      <c r="H109" s="21">
        <v>299525</v>
      </c>
      <c r="I109" s="21">
        <v>287216</v>
      </c>
      <c r="J109" s="21">
        <v>273138</v>
      </c>
      <c r="K109" s="21">
        <f>258897+246860+924716</f>
        <v>1430473</v>
      </c>
      <c r="L109" s="22">
        <f t="shared" si="2"/>
        <v>2906345</v>
      </c>
      <c r="M109" s="14"/>
      <c r="N109" s="14"/>
      <c r="O109" s="14"/>
      <c r="P109" s="14"/>
      <c r="Q109" s="14"/>
      <c r="R109" s="14"/>
      <c r="S109" s="14"/>
      <c r="T109" s="14"/>
    </row>
    <row r="110" spans="1:20" s="15" customFormat="1" ht="63.75">
      <c r="A110" s="11"/>
      <c r="B110" s="20" t="s">
        <v>9</v>
      </c>
      <c r="C110" s="20" t="s">
        <v>68</v>
      </c>
      <c r="D110" s="19" t="s">
        <v>69</v>
      </c>
      <c r="E110" s="19" t="s">
        <v>154</v>
      </c>
      <c r="F110" s="21">
        <v>26715</v>
      </c>
      <c r="G110" s="21">
        <v>32389</v>
      </c>
      <c r="H110" s="21">
        <v>31599</v>
      </c>
      <c r="I110" s="21">
        <v>30845</v>
      </c>
      <c r="J110" s="21">
        <v>30089</v>
      </c>
      <c r="K110" s="21">
        <f>29360+28576+274414</f>
        <v>332350</v>
      </c>
      <c r="L110" s="22">
        <f t="shared" si="2"/>
        <v>483987</v>
      </c>
      <c r="M110" s="14"/>
      <c r="N110" s="14"/>
      <c r="O110" s="14"/>
      <c r="P110" s="14"/>
      <c r="Q110" s="14"/>
      <c r="R110" s="14"/>
      <c r="S110" s="14"/>
      <c r="T110" s="14"/>
    </row>
    <row r="111" spans="1:20" s="15" customFormat="1" ht="38.25">
      <c r="A111" s="11"/>
      <c r="B111" s="20" t="s">
        <v>9</v>
      </c>
      <c r="C111" s="20" t="s">
        <v>314</v>
      </c>
      <c r="D111" s="19" t="s">
        <v>69</v>
      </c>
      <c r="E111" s="19" t="s">
        <v>154</v>
      </c>
      <c r="F111" s="21">
        <v>9503</v>
      </c>
      <c r="G111" s="21">
        <v>11521</v>
      </c>
      <c r="H111" s="21">
        <v>11240</v>
      </c>
      <c r="I111" s="21">
        <v>10972</v>
      </c>
      <c r="J111" s="21">
        <v>10703</v>
      </c>
      <c r="K111" s="21">
        <f>10443+10165+97609</f>
        <v>118217</v>
      </c>
      <c r="L111" s="22">
        <f t="shared" si="2"/>
        <v>172156</v>
      </c>
      <c r="M111" s="14"/>
      <c r="N111" s="14"/>
      <c r="O111" s="14"/>
      <c r="P111" s="14"/>
      <c r="Q111" s="14"/>
      <c r="R111" s="14"/>
      <c r="S111" s="14"/>
      <c r="T111" s="14"/>
    </row>
    <row r="112" spans="1:20" s="15" customFormat="1" ht="76.5">
      <c r="A112" s="11"/>
      <c r="B112" s="20" t="s">
        <v>9</v>
      </c>
      <c r="C112" s="20" t="s">
        <v>61</v>
      </c>
      <c r="D112" s="19" t="s">
        <v>62</v>
      </c>
      <c r="E112" s="19" t="s">
        <v>153</v>
      </c>
      <c r="F112" s="21">
        <v>15263</v>
      </c>
      <c r="G112" s="21">
        <v>16780</v>
      </c>
      <c r="H112" s="21">
        <v>16268</v>
      </c>
      <c r="I112" s="21">
        <v>15767</v>
      </c>
      <c r="J112" s="21">
        <v>15263</v>
      </c>
      <c r="K112" s="21">
        <f>14762+14256+10120</f>
        <v>39138</v>
      </c>
      <c r="L112" s="22">
        <f t="shared" si="2"/>
        <v>118479</v>
      </c>
      <c r="M112" s="14"/>
      <c r="N112" s="14"/>
      <c r="O112" s="14"/>
      <c r="P112" s="14"/>
      <c r="Q112" s="14"/>
      <c r="R112" s="14"/>
      <c r="S112" s="14"/>
      <c r="T112" s="14"/>
    </row>
    <row r="113" spans="1:20" s="15" customFormat="1" ht="51">
      <c r="A113" s="11"/>
      <c r="B113" s="20" t="s">
        <v>9</v>
      </c>
      <c r="C113" s="20" t="s">
        <v>97</v>
      </c>
      <c r="D113" s="19" t="s">
        <v>62</v>
      </c>
      <c r="E113" s="19" t="s">
        <v>154</v>
      </c>
      <c r="F113" s="21">
        <v>1604</v>
      </c>
      <c r="G113" s="21">
        <v>1983</v>
      </c>
      <c r="H113" s="21">
        <v>1935</v>
      </c>
      <c r="I113" s="21">
        <v>1889</v>
      </c>
      <c r="J113" s="21">
        <v>1843</v>
      </c>
      <c r="K113" s="21">
        <f>1798+1750+16810</f>
        <v>20358</v>
      </c>
      <c r="L113" s="22">
        <f t="shared" si="2"/>
        <v>29612</v>
      </c>
      <c r="M113" s="14"/>
      <c r="N113" s="14"/>
      <c r="O113" s="14"/>
      <c r="P113" s="14"/>
      <c r="Q113" s="14"/>
      <c r="R113" s="14"/>
      <c r="S113" s="14"/>
      <c r="T113" s="14"/>
    </row>
    <row r="114" spans="1:20" s="15" customFormat="1" ht="63.75">
      <c r="A114" s="11"/>
      <c r="B114" s="20" t="s">
        <v>9</v>
      </c>
      <c r="C114" s="20" t="s">
        <v>100</v>
      </c>
      <c r="D114" s="19" t="s">
        <v>62</v>
      </c>
      <c r="E114" s="19" t="s">
        <v>155</v>
      </c>
      <c r="F114" s="21">
        <v>34459</v>
      </c>
      <c r="G114" s="21">
        <v>40651</v>
      </c>
      <c r="H114" s="21">
        <v>39561</v>
      </c>
      <c r="I114" s="21">
        <v>38507</v>
      </c>
      <c r="J114" s="21">
        <v>37451</v>
      </c>
      <c r="K114" s="21">
        <f>36418+35338+204046</f>
        <v>275802</v>
      </c>
      <c r="L114" s="22">
        <f t="shared" si="2"/>
        <v>466431</v>
      </c>
      <c r="M114" s="14"/>
      <c r="N114" s="14"/>
      <c r="O114" s="14"/>
      <c r="P114" s="14"/>
      <c r="Q114" s="14"/>
      <c r="R114" s="14"/>
      <c r="S114" s="14"/>
      <c r="T114" s="14"/>
    </row>
    <row r="115" spans="1:20" s="15" customFormat="1" ht="38.25">
      <c r="A115" s="11"/>
      <c r="B115" s="20" t="s">
        <v>9</v>
      </c>
      <c r="C115" s="20" t="s">
        <v>108</v>
      </c>
      <c r="D115" s="19" t="s">
        <v>109</v>
      </c>
      <c r="E115" s="19" t="s">
        <v>151</v>
      </c>
      <c r="F115" s="21">
        <v>3944</v>
      </c>
      <c r="G115" s="21">
        <v>4578</v>
      </c>
      <c r="H115" s="21">
        <v>4466</v>
      </c>
      <c r="I115" s="21">
        <v>4358</v>
      </c>
      <c r="J115" s="21">
        <v>4251</v>
      </c>
      <c r="K115" s="21">
        <f>4148+4036+39390</f>
        <v>47574</v>
      </c>
      <c r="L115" s="22">
        <f t="shared" si="2"/>
        <v>69171</v>
      </c>
      <c r="M115" s="14"/>
      <c r="N115" s="14"/>
      <c r="O115" s="14"/>
      <c r="P115" s="14"/>
      <c r="Q115" s="14"/>
      <c r="R115" s="14"/>
      <c r="S115" s="14"/>
      <c r="T115" s="14"/>
    </row>
    <row r="116" spans="1:20" s="15" customFormat="1" ht="76.5">
      <c r="A116" s="11"/>
      <c r="B116" s="20" t="s">
        <v>9</v>
      </c>
      <c r="C116" s="20" t="s">
        <v>152</v>
      </c>
      <c r="D116" s="19" t="s">
        <v>58</v>
      </c>
      <c r="E116" s="19" t="s">
        <v>161</v>
      </c>
      <c r="F116" s="21">
        <v>8523</v>
      </c>
      <c r="G116" s="21">
        <v>9084</v>
      </c>
      <c r="H116" s="21">
        <v>8777</v>
      </c>
      <c r="I116" s="21">
        <v>8476</v>
      </c>
      <c r="J116" s="21">
        <v>8175</v>
      </c>
      <c r="K116" s="21">
        <f>7877+7573+12536</f>
        <v>27986</v>
      </c>
      <c r="L116" s="22">
        <f t="shared" si="2"/>
        <v>71021</v>
      </c>
      <c r="M116" s="14"/>
      <c r="N116" s="14"/>
      <c r="O116" s="14"/>
      <c r="P116" s="14"/>
      <c r="Q116" s="14"/>
      <c r="R116" s="14"/>
      <c r="S116" s="14"/>
      <c r="T116" s="14"/>
    </row>
    <row r="117" spans="1:20" s="15" customFormat="1" ht="38.25">
      <c r="A117" s="11"/>
      <c r="B117" s="20" t="s">
        <v>9</v>
      </c>
      <c r="C117" s="20" t="s">
        <v>118</v>
      </c>
      <c r="D117" s="19" t="s">
        <v>119</v>
      </c>
      <c r="E117" s="19" t="s">
        <v>149</v>
      </c>
      <c r="F117" s="21">
        <v>25775</v>
      </c>
      <c r="G117" s="21">
        <v>28600</v>
      </c>
      <c r="H117" s="21">
        <v>27827</v>
      </c>
      <c r="I117" s="21">
        <v>27079</v>
      </c>
      <c r="J117" s="21">
        <v>26330</v>
      </c>
      <c r="K117" s="21">
        <f>25597+24830+148055</f>
        <v>198482</v>
      </c>
      <c r="L117" s="22">
        <f t="shared" si="2"/>
        <v>334093</v>
      </c>
      <c r="M117" s="14"/>
      <c r="N117" s="14"/>
      <c r="O117" s="14"/>
      <c r="P117" s="14"/>
      <c r="Q117" s="14"/>
      <c r="R117" s="14"/>
      <c r="S117" s="14"/>
      <c r="T117" s="14"/>
    </row>
    <row r="118" spans="1:20" s="15" customFormat="1" ht="38.25">
      <c r="A118" s="11"/>
      <c r="B118" s="20" t="s">
        <v>9</v>
      </c>
      <c r="C118" s="20" t="s">
        <v>150</v>
      </c>
      <c r="D118" s="19" t="s">
        <v>119</v>
      </c>
      <c r="E118" s="19" t="s">
        <v>151</v>
      </c>
      <c r="F118" s="21">
        <v>7482</v>
      </c>
      <c r="G118" s="21">
        <v>8562</v>
      </c>
      <c r="H118" s="21">
        <v>8352</v>
      </c>
      <c r="I118" s="21">
        <v>8152</v>
      </c>
      <c r="J118" s="21">
        <v>7951</v>
      </c>
      <c r="K118" s="21">
        <f>7757+7549+73673</f>
        <v>88979</v>
      </c>
      <c r="L118" s="22">
        <f t="shared" si="2"/>
        <v>129478</v>
      </c>
      <c r="M118" s="14"/>
      <c r="N118" s="14"/>
      <c r="O118" s="14"/>
      <c r="P118" s="14"/>
      <c r="Q118" s="14"/>
      <c r="R118" s="14"/>
      <c r="S118" s="14"/>
      <c r="T118" s="14"/>
    </row>
    <row r="119" spans="1:20" s="15" customFormat="1" ht="38.25">
      <c r="A119" s="11"/>
      <c r="B119" s="20" t="s">
        <v>9</v>
      </c>
      <c r="C119" s="20" t="s">
        <v>107</v>
      </c>
      <c r="D119" s="19" t="s">
        <v>87</v>
      </c>
      <c r="E119" s="19" t="s">
        <v>148</v>
      </c>
      <c r="F119" s="21">
        <v>11785</v>
      </c>
      <c r="G119" s="21">
        <v>12687</v>
      </c>
      <c r="H119" s="21">
        <v>12444</v>
      </c>
      <c r="I119" s="21">
        <v>12151</v>
      </c>
      <c r="J119" s="21">
        <v>11857</v>
      </c>
      <c r="K119" s="21">
        <f>11574+11269+112332</f>
        <v>135175</v>
      </c>
      <c r="L119" s="22">
        <f t="shared" si="2"/>
        <v>196099</v>
      </c>
      <c r="M119" s="14"/>
      <c r="N119" s="14"/>
      <c r="O119" s="14"/>
      <c r="P119" s="14"/>
      <c r="Q119" s="14"/>
      <c r="R119" s="14"/>
      <c r="S119" s="14"/>
      <c r="T119" s="14"/>
    </row>
    <row r="120" spans="1:20" s="15" customFormat="1" ht="63.75">
      <c r="A120" s="11"/>
      <c r="B120" s="20" t="s">
        <v>9</v>
      </c>
      <c r="C120" s="20" t="s">
        <v>86</v>
      </c>
      <c r="D120" s="19" t="s">
        <v>87</v>
      </c>
      <c r="E120" s="19" t="s">
        <v>147</v>
      </c>
      <c r="F120" s="21">
        <v>15817</v>
      </c>
      <c r="G120" s="21">
        <v>16282</v>
      </c>
      <c r="H120" s="21">
        <v>15850</v>
      </c>
      <c r="I120" s="21">
        <v>15379</v>
      </c>
      <c r="J120" s="21">
        <v>14907</v>
      </c>
      <c r="K120" s="21">
        <f>14440+13963+26456</f>
        <v>54859</v>
      </c>
      <c r="L120" s="22">
        <f t="shared" si="2"/>
        <v>133094</v>
      </c>
      <c r="M120" s="14"/>
      <c r="N120" s="14"/>
      <c r="O120" s="14"/>
      <c r="P120" s="14"/>
      <c r="Q120" s="14"/>
      <c r="R120" s="14"/>
      <c r="S120" s="14"/>
      <c r="T120" s="14"/>
    </row>
    <row r="121" spans="1:20" s="15" customFormat="1" ht="63.75">
      <c r="A121" s="11"/>
      <c r="B121" s="20" t="s">
        <v>9</v>
      </c>
      <c r="C121" s="20" t="s">
        <v>146</v>
      </c>
      <c r="D121" s="19" t="s">
        <v>64</v>
      </c>
      <c r="E121" s="19" t="s">
        <v>145</v>
      </c>
      <c r="F121" s="21">
        <v>18178</v>
      </c>
      <c r="G121" s="21">
        <v>19770</v>
      </c>
      <c r="H121" s="21">
        <v>19442</v>
      </c>
      <c r="I121" s="21">
        <v>18977</v>
      </c>
      <c r="J121" s="21">
        <v>18510</v>
      </c>
      <c r="K121" s="21">
        <f>18061+17577+174620</f>
        <v>210258</v>
      </c>
      <c r="L121" s="22">
        <f t="shared" si="2"/>
        <v>305135</v>
      </c>
      <c r="M121" s="14"/>
      <c r="N121" s="14"/>
      <c r="O121" s="14"/>
      <c r="P121" s="14"/>
      <c r="Q121" s="14"/>
      <c r="R121" s="14"/>
      <c r="S121" s="14"/>
      <c r="T121" s="14"/>
    </row>
    <row r="122" spans="1:20" s="15" customFormat="1" ht="51">
      <c r="A122" s="11"/>
      <c r="B122" s="20" t="s">
        <v>9</v>
      </c>
      <c r="C122" s="20" t="s">
        <v>117</v>
      </c>
      <c r="D122" s="19" t="s">
        <v>64</v>
      </c>
      <c r="E122" s="19" t="s">
        <v>147</v>
      </c>
      <c r="F122" s="21">
        <v>15398</v>
      </c>
      <c r="G122" s="21">
        <v>15935</v>
      </c>
      <c r="H122" s="21">
        <v>15528</v>
      </c>
      <c r="I122" s="21">
        <v>15055</v>
      </c>
      <c r="J122" s="21">
        <v>14580</v>
      </c>
      <c r="K122" s="21">
        <f>14110+13631+25858</f>
        <v>53599</v>
      </c>
      <c r="L122" s="22">
        <f t="shared" si="2"/>
        <v>130095</v>
      </c>
      <c r="M122" s="14"/>
      <c r="N122" s="14"/>
      <c r="O122" s="14"/>
      <c r="P122" s="14"/>
      <c r="Q122" s="14"/>
      <c r="R122" s="14"/>
      <c r="S122" s="14"/>
      <c r="T122" s="14"/>
    </row>
    <row r="123" spans="1:20" s="15" customFormat="1" ht="51">
      <c r="A123" s="11"/>
      <c r="B123" s="20" t="s">
        <v>9</v>
      </c>
      <c r="C123" s="20" t="s">
        <v>275</v>
      </c>
      <c r="D123" s="19" t="s">
        <v>64</v>
      </c>
      <c r="E123" s="19" t="s">
        <v>276</v>
      </c>
      <c r="F123" s="21">
        <v>27147</v>
      </c>
      <c r="G123" s="21">
        <v>28916</v>
      </c>
      <c r="H123" s="21">
        <v>28322</v>
      </c>
      <c r="I123" s="21">
        <v>27563</v>
      </c>
      <c r="J123" s="21">
        <v>26802</v>
      </c>
      <c r="K123" s="21">
        <f>26058+25278+155692</f>
        <v>207028</v>
      </c>
      <c r="L123" s="22">
        <f t="shared" si="2"/>
        <v>345778</v>
      </c>
      <c r="M123" s="14"/>
      <c r="N123" s="14"/>
      <c r="O123" s="14"/>
      <c r="P123" s="14"/>
      <c r="Q123" s="14"/>
      <c r="R123" s="14"/>
      <c r="S123" s="14"/>
      <c r="T123" s="14"/>
    </row>
    <row r="124" spans="1:20" s="15" customFormat="1" ht="63.75">
      <c r="A124" s="11"/>
      <c r="B124" s="20" t="s">
        <v>9</v>
      </c>
      <c r="C124" s="20" t="s">
        <v>141</v>
      </c>
      <c r="D124" s="19" t="s">
        <v>63</v>
      </c>
      <c r="E124" s="19" t="s">
        <v>143</v>
      </c>
      <c r="F124" s="21">
        <v>15620</v>
      </c>
      <c r="G124" s="21">
        <v>16886</v>
      </c>
      <c r="H124" s="21">
        <v>16518</v>
      </c>
      <c r="I124" s="21">
        <v>16103</v>
      </c>
      <c r="J124" s="21">
        <v>15688</v>
      </c>
      <c r="K124" s="21">
        <f>15285+14856+125321</f>
        <v>155462</v>
      </c>
      <c r="L124" s="22">
        <f t="shared" si="2"/>
        <v>236277</v>
      </c>
      <c r="M124" s="14"/>
      <c r="N124" s="14"/>
      <c r="O124" s="14"/>
      <c r="P124" s="14"/>
      <c r="Q124" s="14"/>
      <c r="R124" s="14"/>
      <c r="S124" s="14"/>
      <c r="T124" s="14"/>
    </row>
    <row r="125" spans="1:20" s="15" customFormat="1" ht="76.5">
      <c r="A125" s="11"/>
      <c r="B125" s="20" t="s">
        <v>9</v>
      </c>
      <c r="C125" s="20" t="s">
        <v>70</v>
      </c>
      <c r="D125" s="19" t="s">
        <v>63</v>
      </c>
      <c r="E125" s="19" t="s">
        <v>142</v>
      </c>
      <c r="F125" s="21">
        <v>6516</v>
      </c>
      <c r="G125" s="21">
        <v>6755</v>
      </c>
      <c r="H125" s="21">
        <v>6564</v>
      </c>
      <c r="I125" s="21">
        <v>6362</v>
      </c>
      <c r="J125" s="21">
        <v>6159</v>
      </c>
      <c r="K125" s="21">
        <f>5958+5753+10908</f>
        <v>22619</v>
      </c>
      <c r="L125" s="22">
        <f t="shared" si="2"/>
        <v>54975</v>
      </c>
      <c r="M125" s="14"/>
      <c r="N125" s="14"/>
      <c r="O125" s="14"/>
      <c r="P125" s="14"/>
      <c r="Q125" s="14"/>
      <c r="R125" s="14"/>
      <c r="S125" s="14"/>
      <c r="T125" s="14"/>
    </row>
    <row r="126" spans="2:20" ht="63.75">
      <c r="B126" s="20" t="s">
        <v>9</v>
      </c>
      <c r="C126" s="20" t="s">
        <v>99</v>
      </c>
      <c r="D126" s="19" t="s">
        <v>63</v>
      </c>
      <c r="E126" s="19" t="s">
        <v>144</v>
      </c>
      <c r="F126" s="21">
        <v>37644</v>
      </c>
      <c r="G126" s="21">
        <v>40141</v>
      </c>
      <c r="H126" s="21">
        <v>39184</v>
      </c>
      <c r="I126" s="21">
        <v>38129</v>
      </c>
      <c r="J126" s="21">
        <v>37072</v>
      </c>
      <c r="K126" s="21">
        <f>36038+34956+215185</f>
        <v>286179</v>
      </c>
      <c r="L126" s="22">
        <f t="shared" si="2"/>
        <v>478349</v>
      </c>
      <c r="Q126" s="24"/>
      <c r="T126" s="24"/>
    </row>
    <row r="127" spans="2:20" ht="63.75">
      <c r="B127" s="20" t="s">
        <v>9</v>
      </c>
      <c r="C127" s="20" t="s">
        <v>285</v>
      </c>
      <c r="D127" s="19" t="s">
        <v>277</v>
      </c>
      <c r="E127" s="19" t="s">
        <v>278</v>
      </c>
      <c r="F127" s="21">
        <v>21683</v>
      </c>
      <c r="G127" s="21">
        <v>24123</v>
      </c>
      <c r="H127" s="21">
        <v>23277</v>
      </c>
      <c r="I127" s="21">
        <v>22452</v>
      </c>
      <c r="J127" s="21">
        <v>21624</v>
      </c>
      <c r="K127" s="21">
        <f>20804+19966+46310</f>
        <v>87080</v>
      </c>
      <c r="L127" s="22">
        <f t="shared" si="2"/>
        <v>200239</v>
      </c>
      <c r="Q127" s="24"/>
      <c r="T127" s="24"/>
    </row>
    <row r="128" spans="2:20" ht="15.75">
      <c r="B128" s="20" t="s">
        <v>9</v>
      </c>
      <c r="C128" s="20" t="s">
        <v>279</v>
      </c>
      <c r="D128" s="19" t="s">
        <v>280</v>
      </c>
      <c r="E128" s="19" t="s">
        <v>198</v>
      </c>
      <c r="F128" s="21">
        <v>29658</v>
      </c>
      <c r="G128" s="21">
        <v>29763</v>
      </c>
      <c r="H128" s="21">
        <v>11542</v>
      </c>
      <c r="I128" s="21"/>
      <c r="J128" s="21"/>
      <c r="K128" s="21"/>
      <c r="L128" s="22">
        <f t="shared" si="3" ref="L128:L133">=SUM(F128:K128)</f>
        <v>70963</v>
      </c>
      <c r="Q128" s="24"/>
      <c r="T128" s="24"/>
    </row>
    <row r="129" spans="2:20" ht="38.25">
      <c r="B129" s="20" t="s">
        <v>9</v>
      </c>
      <c r="C129" s="20" t="s">
        <v>281</v>
      </c>
      <c r="D129" s="19" t="s">
        <v>282</v>
      </c>
      <c r="E129" s="19" t="s">
        <v>283</v>
      </c>
      <c r="F129" s="21">
        <v>11473</v>
      </c>
      <c r="G129" s="21">
        <v>12226</v>
      </c>
      <c r="H129" s="21">
        <v>11840</v>
      </c>
      <c r="I129" s="21">
        <v>11440</v>
      </c>
      <c r="J129" s="21">
        <v>11039</v>
      </c>
      <c r="K129" s="21">
        <f>10643+10236+26109</f>
        <v>46988</v>
      </c>
      <c r="L129" s="22">
        <f t="shared" si="3"/>
        <v>105006</v>
      </c>
      <c r="Q129" s="24"/>
      <c r="T129" s="24"/>
    </row>
    <row r="130" spans="2:20" ht="51">
      <c r="B130" s="20" t="s">
        <v>9</v>
      </c>
      <c r="C130" s="20" t="s">
        <v>284</v>
      </c>
      <c r="D130" s="19" t="s">
        <v>282</v>
      </c>
      <c r="E130" s="19" t="s">
        <v>283</v>
      </c>
      <c r="F130" s="21">
        <v>11983</v>
      </c>
      <c r="G130" s="21">
        <v>12351</v>
      </c>
      <c r="H130" s="21">
        <v>11958</v>
      </c>
      <c r="I130" s="21">
        <v>11549</v>
      </c>
      <c r="J130" s="21">
        <v>11140</v>
      </c>
      <c r="K130" s="21">
        <f>10734+10320+23413</f>
        <v>44467</v>
      </c>
      <c r="L130" s="22">
        <f t="shared" si="3"/>
        <v>103448</v>
      </c>
      <c r="Q130" s="24"/>
      <c r="T130" s="24"/>
    </row>
    <row r="131" spans="2:20" ht="63.75">
      <c r="B131" s="20" t="s">
        <v>9</v>
      </c>
      <c r="C131" s="20" t="s">
        <v>285</v>
      </c>
      <c r="D131" s="19" t="s">
        <v>282</v>
      </c>
      <c r="E131" s="19" t="s">
        <v>283</v>
      </c>
      <c r="F131" s="21">
        <v>8198</v>
      </c>
      <c r="G131" s="21">
        <v>8435</v>
      </c>
      <c r="H131" s="21">
        <v>8142</v>
      </c>
      <c r="I131" s="21">
        <v>7841</v>
      </c>
      <c r="J131" s="21">
        <v>7539</v>
      </c>
      <c r="K131" s="21">
        <f>7240+6933+17527</f>
        <v>31700</v>
      </c>
      <c r="L131" s="22">
        <f t="shared" si="3"/>
        <v>71855</v>
      </c>
      <c r="Q131" s="24"/>
      <c r="T131" s="24"/>
    </row>
    <row r="132" spans="2:20" ht="51">
      <c r="B132" s="20" t="s">
        <v>9</v>
      </c>
      <c r="C132" s="20" t="s">
        <v>286</v>
      </c>
      <c r="D132" s="19" t="s">
        <v>287</v>
      </c>
      <c r="E132" s="19" t="s">
        <v>288</v>
      </c>
      <c r="F132" s="21">
        <v>74394</v>
      </c>
      <c r="G132" s="21">
        <v>82971</v>
      </c>
      <c r="H132" s="21">
        <v>80693</v>
      </c>
      <c r="I132" s="21">
        <v>78529</v>
      </c>
      <c r="J132" s="21">
        <v>76359</v>
      </c>
      <c r="K132" s="21">
        <f>74274+72017+748205</f>
        <v>894496</v>
      </c>
      <c r="L132" s="22">
        <f t="shared" si="3"/>
        <v>1287442</v>
      </c>
      <c r="Q132" s="24"/>
      <c r="T132" s="24"/>
    </row>
    <row r="133" spans="2:20" ht="51">
      <c r="B133" s="20" t="s">
        <v>9</v>
      </c>
      <c r="C133" s="20" t="s">
        <v>286</v>
      </c>
      <c r="D133" s="19" t="s">
        <v>291</v>
      </c>
      <c r="E133" s="19" t="s">
        <v>289</v>
      </c>
      <c r="F133" s="21">
        <v>14035</v>
      </c>
      <c r="G133" s="21">
        <v>15996</v>
      </c>
      <c r="H133" s="21">
        <v>15664</v>
      </c>
      <c r="I133" s="21">
        <v>15235</v>
      </c>
      <c r="J133" s="21">
        <v>14806</v>
      </c>
      <c r="K133" s="21">
        <f>14393+13946+142252</f>
        <v>170591</v>
      </c>
      <c r="L133" s="22">
        <f t="shared" si="3"/>
        <v>246327</v>
      </c>
      <c r="Q133" s="24"/>
      <c r="T133" s="24"/>
    </row>
    <row r="134" spans="1:20" s="29" customFormat="1" ht="15.75">
      <c r="A134" s="25"/>
      <c r="B134" s="23" t="s">
        <v>133</v>
      </c>
      <c r="C134" s="19" t="s">
        <v>0</v>
      </c>
      <c r="D134" s="19" t="s">
        <v>0</v>
      </c>
      <c r="E134" s="19"/>
      <c r="F134" s="22">
        <f t="shared" si="4" ref="F134:L134">=SUM(F15:F133)</f>
        <v>2125767</v>
      </c>
      <c r="G134" s="22">
        <f t="shared" si="4"/>
        <v>2260604</v>
      </c>
      <c r="H134" s="22">
        <f t="shared" si="4"/>
        <v>2126933</v>
      </c>
      <c r="I134" s="22">
        <f t="shared" si="4"/>
        <v>2004817</v>
      </c>
      <c r="J134" s="22">
        <f t="shared" si="4"/>
        <v>1872096</v>
      </c>
      <c r="K134" s="22">
        <f t="shared" si="4"/>
        <v>15077805</v>
      </c>
      <c r="L134" s="22">
        <f t="shared" si="4"/>
        <v>25468022</v>
      </c>
      <c r="Q134" s="30"/>
      <c r="T134" s="30"/>
    </row>
    <row r="135" spans="1:20" s="29" customFormat="1" ht="15.75">
      <c r="A135" s="25"/>
      <c r="B135" s="26"/>
      <c r="C135" s="26"/>
      <c r="D135" s="26"/>
      <c r="E135" s="26"/>
      <c r="F135" s="27"/>
      <c r="G135" s="27"/>
      <c r="H135" s="27"/>
      <c r="I135" s="27"/>
      <c r="J135" s="27"/>
      <c r="K135" s="27"/>
      <c r="L135" s="28"/>
      <c r="Q135" s="30"/>
      <c r="T135" s="30"/>
    </row>
    <row r="136" spans="1:34" s="29" customFormat="1" ht="15.75">
      <c r="A136" s="25"/>
      <c r="B136" s="31" t="s">
        <v>134</v>
      </c>
      <c r="C136" s="32"/>
      <c r="D136" s="32"/>
      <c r="E136" s="32"/>
      <c r="F136" s="33"/>
      <c r="G136" s="33"/>
      <c r="H136" s="33"/>
      <c r="I136" s="33"/>
      <c r="J136" s="33"/>
      <c r="K136" s="33"/>
      <c r="L136" s="34"/>
      <c r="Q136" s="30"/>
      <c r="T136" s="30"/>
      <c r="AH136" s="42"/>
    </row>
    <row r="137" spans="2:12" ht="51">
      <c r="B137" s="20" t="s">
        <v>135</v>
      </c>
      <c r="C137" s="20" t="s">
        <v>136</v>
      </c>
      <c r="D137" s="19" t="s">
        <v>137</v>
      </c>
      <c r="E137" s="19" t="s">
        <v>290</v>
      </c>
      <c r="F137" s="21">
        <v>6535</v>
      </c>
      <c r="G137" s="21">
        <v>6535</v>
      </c>
      <c r="H137" s="21">
        <v>6535</v>
      </c>
      <c r="I137" s="21">
        <v>6535</v>
      </c>
      <c r="J137" s="21">
        <v>0</v>
      </c>
      <c r="K137" s="21">
        <v>0</v>
      </c>
      <c r="L137" s="22">
        <f>F137+G137+H137+I137</f>
        <v>26140</v>
      </c>
    </row>
    <row r="138" spans="2:12" ht="15.75" hidden="1">
      <c r="B138" s="35" t="s">
        <v>133</v>
      </c>
      <c r="C138" s="19" t="s">
        <v>0</v>
      </c>
      <c r="D138" s="19" t="s">
        <v>0</v>
      </c>
      <c r="E138" s="19"/>
      <c r="F138" s="22">
        <v>6587</v>
      </c>
      <c r="G138" s="22">
        <v>6587</v>
      </c>
      <c r="H138" s="22">
        <v>6587</v>
      </c>
      <c r="I138" s="22">
        <v>6587</v>
      </c>
      <c r="J138" s="22">
        <v>3294</v>
      </c>
      <c r="K138" s="22">
        <v>0</v>
      </c>
      <c r="L138" s="22">
        <f>L137</f>
        <v>26140</v>
      </c>
    </row>
    <row r="139" spans="2:12" ht="25.5">
      <c r="B139" s="35" t="s">
        <v>138</v>
      </c>
      <c r="C139" s="19" t="s">
        <v>0</v>
      </c>
      <c r="D139" s="19" t="s">
        <v>0</v>
      </c>
      <c r="E139" s="19"/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22">
        <v>0</v>
      </c>
    </row>
    <row r="140" spans="2:12" ht="15.75">
      <c r="B140" s="37"/>
      <c r="C140" s="37"/>
      <c r="D140" s="37"/>
      <c r="E140" s="37"/>
      <c r="F140" s="33"/>
      <c r="G140" s="33"/>
      <c r="H140" s="33"/>
      <c r="I140" s="33"/>
      <c r="J140" s="33"/>
      <c r="K140" s="33"/>
      <c r="L140" s="38"/>
    </row>
    <row r="141" spans="2:12" ht="15.75">
      <c r="B141" s="35" t="s">
        <v>139</v>
      </c>
      <c r="C141" s="39"/>
      <c r="D141" s="40"/>
      <c r="E141" s="40"/>
      <c r="F141" s="22">
        <f t="shared" si="5" ref="F141:L141">=F134+F138</f>
        <v>2132354</v>
      </c>
      <c r="G141" s="22">
        <f t="shared" si="5"/>
        <v>2267191</v>
      </c>
      <c r="H141" s="22">
        <f t="shared" si="5"/>
        <v>2133520</v>
      </c>
      <c r="I141" s="22">
        <f t="shared" si="5"/>
        <v>2011404</v>
      </c>
      <c r="J141" s="22">
        <f t="shared" si="5"/>
        <v>1875390</v>
      </c>
      <c r="K141" s="22">
        <f t="shared" si="5"/>
        <v>15077805</v>
      </c>
      <c r="L141" s="22">
        <f t="shared" si="5"/>
        <v>25494162</v>
      </c>
    </row>
    <row r="144" spans="3:3" ht="15.75">
      <c r="C144" s="46" t="s">
        <v>270</v>
      </c>
    </row>
  </sheetData>
  <sortState ref="B6:L127">
    <sortCondition customList="2000,2001,2002,2003,2004,2005,2006,2007,2008,2009,2010,2011,2012,2013,2014,2015,2016,2017,2018,2019,2020,2021,2022" ref="D6:D127"/>
  </sortState>
  <mergeCells count="4">
    <mergeCell ref="B10:B11"/>
    <mergeCell ref="C10:C11"/>
    <mergeCell ref="D10:D11"/>
    <mergeCell ref="F10:L10"/>
  </mergeCells>
  <pageMargins left="0.7" right="0.7" top="0.75" bottom="0.75" header="0.3" footer="0.3"/>
  <pageSetup fitToHeight="0" horizontalDpi="300" verticalDpi="300" orientation="landscape" paperSize="9" scale="7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saistibas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Balvi Novads</cp:lastModifiedBy>
  <cp:lastPrinted>2023-03-27T07:09:52Z</cp:lastPrinted>
  <dcterms:created xsi:type="dcterms:W3CDTF">2022-01-21T21:34:37Z</dcterms:created>
  <dcterms:modified xsi:type="dcterms:W3CDTF">2023-03-27T07:10:10Z</dcterms:modified>
  <cp:category/>
</cp:coreProperties>
</file>