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3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Print_Area" localSheetId="3">'4.pielikums'!$A$7:$I$392</definedName>
  </definedNames>
  <calcPr calcId="191029"/>
</workbook>
</file>

<file path=xl/calcChain.xml><?xml version="1.0" encoding="utf-8"?>
<calcChain xmlns="http://schemas.openxmlformats.org/spreadsheetml/2006/main">
  <c r="E75" i="4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Sinica</author>
  </authors>
  <commentList>
    <comment ref="B338" authorId="0" shapeId="0" xr:uid="{00000000-0006-0000-0300-000001000000}">
      <text>
        <r>
          <rPr>
            <b/>
            <sz val="9"/>
            <rFont val="Tahoma"/>
            <family val="2"/>
            <charset val="186"/>
          </rPr>
          <t>Olga Sinica:</t>
        </r>
        <r>
          <rPr>
            <sz val="9"/>
            <rFont val="Tahoma"/>
            <family val="2"/>
            <charset val="186"/>
          </rPr>
          <t xml:space="preserve">
pašvaldības finansējums</t>
        </r>
      </text>
    </comment>
  </commentList>
</comments>
</file>

<file path=xl/sharedStrings.xml><?xml version="1.0" encoding="utf-8"?>
<sst xmlns="http://schemas.openxmlformats.org/spreadsheetml/2006/main" count="1137" uniqueCount="683">
  <si>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</si>
  <si>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</si>
  <si>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</si>
  <si>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</si>
  <si>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</si>
  <si>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</si>
  <si>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</si>
  <si>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</si>
  <si>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</si>
  <si>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</si>
  <si>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</si>
  <si>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</si>
  <si>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</si>
  <si>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</si>
  <si>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</si>
  <si>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</si>
  <si>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</si>
  <si>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</si>
  <si>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</si>
  <si>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</si>
  <si>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</si>
  <si>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</si>
  <si>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</si>
  <si>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</si>
  <si>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</si>
  <si>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</si>
  <si>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</si>
  <si>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</si>
  <si>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</si>
  <si>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</si>
  <si>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 xml:space="preserve">Sporta pasākumi novadā </t>
  </si>
  <si>
    <t>Balvu Centrālā bibliotēka</t>
  </si>
  <si>
    <t>KAC pasākumi</t>
  </si>
  <si>
    <t>Briežuciema Tautas nams</t>
  </si>
  <si>
    <t>Krišjāņu Tautas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</si>
  <si>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</si>
  <si>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</si>
  <si>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</si>
  <si>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</si>
  <si>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</si>
  <si>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</si>
  <si>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</si>
  <si>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</si>
  <si>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</si>
  <si>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</si>
  <si>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</si>
  <si>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</si>
  <si>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</si>
  <si>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</si>
  <si>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</si>
  <si>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</si>
  <si>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</si>
  <si>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</si>
  <si>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</si>
  <si>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</si>
  <si>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</si>
  <si>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Deinstitucionālizācijas pasākumu īstenošana Latgales reģionā</t>
  </si>
  <si>
    <t>Projekts "Pasākumi vietējās sabiedrības veselības veicināšanai Balvu novadā"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</si>
  <si>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</si>
  <si>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</si>
  <si>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</si>
  <si>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</si>
  <si>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</si>
  <si>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</si>
  <si>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</si>
  <si>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</si>
  <si>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</si>
  <si>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</si>
  <si>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</si>
  <si>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</si>
  <si>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</si>
  <si>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</si>
  <si>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</si>
  <si>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</si>
  <si>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</si>
  <si>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</si>
  <si>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</si>
  <si>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</si>
  <si>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</si>
  <si>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</si>
  <si>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LV-LT pārrobežu sadarbības projekts "Amatu prasmes tūrisma telpā"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</si>
  <si>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</si>
  <si>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</si>
  <si>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</si>
  <si>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</si>
  <si>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</si>
  <si>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</si>
  <si>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</si>
  <si>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</si>
  <si>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</si>
  <si>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</si>
  <si>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</si>
  <si>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</si>
  <si>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</si>
  <si>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</si>
  <si>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</si>
  <si>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</si>
  <si>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</si>
  <si>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Susāju pārvaldes teritorijas apsaimniekošana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</si>
  <si>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</si>
  <si>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</si>
  <si>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</si>
  <si>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</si>
  <si>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</si>
  <si>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</si>
  <si>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</si>
  <si>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</si>
  <si>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</si>
  <si>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</si>
  <si>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</si>
  <si>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</si>
  <si>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</si>
  <si>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</si>
  <si>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</si>
  <si>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</si>
  <si>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</si>
  <si>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</si>
  <si>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</si>
  <si>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Žīguru pārvaldes pašvaldības  dzīvokļu uzturēšana</t>
  </si>
  <si>
    <t>Viļakas pilsētas labiekārtošana</t>
  </si>
  <si>
    <t>Vecumu pārvaldes pašvaldības dzīvokļu uzturēšana</t>
  </si>
  <si>
    <t>Rugāju sociālās aprūpes centrs</t>
  </si>
  <si>
    <t>Viļakas sociālās aprūpes centrs</t>
  </si>
  <si>
    <t>Šķilbēnu sociālās aprūpes māja</t>
  </si>
  <si>
    <t>Kultūrvēsturiskā lauku sēta "Vēršukalns"</t>
  </si>
  <si>
    <t>Viļakas muzejs</t>
  </si>
  <si>
    <t xml:space="preserve">Rugāju muzejs  </t>
  </si>
  <si>
    <t>Lazdukalna pagasta pārvalde</t>
  </si>
  <si>
    <t>Rugāju pagasta pārvalde</t>
  </si>
  <si>
    <t>Algotie pagaidu sabiedriskie darbi</t>
  </si>
  <si>
    <t>Balkanu Dabas parks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</si>
  <si>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</si>
  <si>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</si>
  <si>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</si>
  <si>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</si>
  <si>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</si>
  <si>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</si>
  <si>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</si>
  <si>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</si>
  <si>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</si>
  <si>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</si>
  <si>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</si>
  <si>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</si>
  <si>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Projekts "Dzīvo aktīvs Baltinavā"</t>
  </si>
  <si>
    <t>Kupravas feldšeru punkts</t>
  </si>
  <si>
    <t>Baltinavas muzejs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</si>
  <si>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</si>
  <si>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</si>
  <si>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</si>
  <si>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</si>
  <si>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Viļakas mūzikas un mākslas 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</si>
  <si>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</si>
  <si>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</si>
  <si>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</si>
  <si>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</si>
  <si>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</si>
  <si>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</si>
  <si>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Izglītības pārvalde</t>
  </si>
  <si>
    <t>Baltinavas mūzikas un mākslas skola</t>
  </si>
  <si>
    <t>Baltinavas vidusskola</t>
  </si>
  <si>
    <t>Veļas mazgāšanas pakalpojumi (Rugāji)</t>
  </si>
  <si>
    <t>Baltinavas kultūras pasākumi</t>
  </si>
  <si>
    <t xml:space="preserve">Domes priekšsēdētājs                                                                                              S.Maksimovs                                               </t>
  </si>
  <si>
    <t>Bērzpils pamatskola</t>
  </si>
  <si>
    <t>4.pielikums</t>
  </si>
  <si>
    <t>Rugāju vidusskola</t>
  </si>
  <si>
    <t>Degradēto teritoriju revitalizācija Austrumu pierobežā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</si>
  <si>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</si>
  <si>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</si>
  <si>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</si>
  <si>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</si>
  <si>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</si>
  <si>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</si>
  <si>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</si>
  <si>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</si>
  <si>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 xml:space="preserve">Lazdukalna pagasta apgaismojuma un ietvju uzturēšana </t>
  </si>
  <si>
    <t xml:space="preserve">Rugāju pagasta apgaismojuma un ietvju uzturēšana 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</si>
  <si>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</si>
  <si>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</si>
  <si>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</si>
  <si>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</si>
  <si>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</si>
  <si>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</si>
  <si>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</si>
  <si>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</si>
  <si>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</si>
  <si>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</si>
  <si>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</si>
  <si>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</si>
  <si>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</si>
  <si>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</si>
  <si>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</si>
  <si>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</si>
  <si>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</si>
  <si>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</si>
  <si>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</si>
  <si>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</si>
  <si>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</si>
  <si>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</si>
  <si>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</si>
  <si>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</si>
  <si>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</si>
  <si>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</si>
  <si>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</si>
  <si>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</si>
  <si>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</si>
  <si>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Projekts "Veselības veicināšanas un slimību profilakses pasākumi Viļakā un apkaimē"</t>
  </si>
  <si>
    <t>Skolēnu pārvadājumi Tilžas pagastā</t>
  </si>
  <si>
    <t xml:space="preserve">Nacionālo partizānu mītnes vietnes (pilsētiņas) Stompaku purvā atjaunošana 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</si>
  <si>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</si>
  <si>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</si>
  <si>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</si>
  <si>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</si>
  <si>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</si>
  <si>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</si>
  <si>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</si>
  <si>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</si>
  <si>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</si>
  <si>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</si>
  <si>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</si>
  <si>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</si>
  <si>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Politiski represēto apvienība Balvu nodaļa</t>
  </si>
  <si>
    <t>Balvu pensionāru biedrība</t>
  </si>
  <si>
    <t>Balvu Teritoriālā Invalīdu biedrība</t>
  </si>
  <si>
    <t>Bērzpils pamatskolas pirmsskolas izglītības grupa Krišjāņos</t>
  </si>
  <si>
    <t>Tilžas pamatskola</t>
  </si>
  <si>
    <t>Tilžas pamatskolas pirmsskolas izglītības grupa Vectilžā</t>
  </si>
  <si>
    <t>Balvu novada Bērnu un jauniešu centrs</t>
  </si>
  <si>
    <t>Sociālie pabalsti</t>
  </si>
  <si>
    <t>Baltinavas muzeja ēkas energoefektivitātes paaugstināšana</t>
  </si>
  <si>
    <t>Rugāju pagasta pārvaldes ēkas energoefektivitātes paaugstināšana</t>
  </si>
  <si>
    <t>Muižas apbūves kompleksa pārbūve 2.kārta</t>
  </si>
  <si>
    <t>Balvu novada pašvaldības 2023.gada  pamatbudžeta izdevumi atbilstoši ekonomiskajām kategorijām (EUR)</t>
  </si>
  <si>
    <t>t.sk. labiekārtošana</t>
  </si>
  <si>
    <t>Krišjāņu komunālā saimniecība -notekūdeņu apsaimniekošana</t>
  </si>
  <si>
    <t>Krišjāņu komunālā saimniecība - ūdens</t>
  </si>
  <si>
    <t>Krišjāņu komunālā saimniecība - apkure</t>
  </si>
  <si>
    <t>Kubulu komunālā saimniecība -notekūdeņu apsaimniekošana</t>
  </si>
  <si>
    <t>Kubulu komunālā saimniecība - ūdens</t>
  </si>
  <si>
    <t>"Par Balvu novada pašvaldības 2023.gada budžetu"</t>
  </si>
  <si>
    <t>Amatierkolektīvu tautu tērpu iegāde</t>
  </si>
  <si>
    <t>Erasmus + projekts Bērzpils pamatskola</t>
  </si>
  <si>
    <t>Es-Tu-Mēs, well-being Balvu novadā</t>
  </si>
  <si>
    <t>ERAF projekts Balvu mākslas skolas ēkas energoefektivitātes paaugstināšana</t>
  </si>
  <si>
    <t>Projekts "Dzīvo vesels"-veselīga dzīvesveida un  profilakses veicināšanas pasākumi Rugāju un Lazdukalna pagastu iedzīvotājiem</t>
  </si>
  <si>
    <t>Vides pieejamības veicināšana Balvu novada Nodarbinātības valsts aģentūrā</t>
  </si>
  <si>
    <t>Rekavas vidusskolas darbnīcu ēkas energoefektivitātes paaugstināšana</t>
  </si>
  <si>
    <t>Balvu sākumskolas pārbūve</t>
  </si>
  <si>
    <t>Bērzpils komunālā saimniecība -notekūdeņu apsaimniekošana</t>
  </si>
  <si>
    <t>Bērzpils komunālā saimniecība - ūdens</t>
  </si>
  <si>
    <t>Tilžas komunālā saimniecība -notekūdeņu apsaimniekošana</t>
  </si>
  <si>
    <t>Tilžas komunālā saimniecība - apkure</t>
  </si>
  <si>
    <t>Tilžas komunālā saimniecība - ūdens</t>
  </si>
  <si>
    <t>AS Balvu Enerģija akciju iegāde</t>
  </si>
  <si>
    <t>Viduču pamatskola Žīguros</t>
  </si>
  <si>
    <t>ERASMUS+ projekts Balvu profesionālā un vispārizglītojošā vidusskola (Pandemi Art)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</si>
  <si>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</si>
  <si>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</si>
  <si>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</si>
  <si>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</si>
  <si>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</si>
  <si>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</si>
  <si>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</si>
  <si>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</si>
  <si>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</si>
  <si>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</si>
  <si>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</si>
  <si>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</si>
  <si>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Rugāju  pagasta pārvalde</t>
  </si>
  <si>
    <t>03.000</t>
  </si>
  <si>
    <t>Sabiedriskā kārtība un drošība</t>
  </si>
  <si>
    <t>04.000</t>
  </si>
  <si>
    <t>Ekonomiskā darbība</t>
  </si>
  <si>
    <t>Algoti pagaidu sabiedriskie darbi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</si>
  <si>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</si>
  <si>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</si>
  <si>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</si>
  <si>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</si>
  <si>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</si>
  <si>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</si>
  <si>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</si>
  <si>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</si>
  <si>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</si>
  <si>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</si>
  <si>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</si>
  <si>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</si>
  <si>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</si>
  <si>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</si>
  <si>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</si>
  <si>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</si>
  <si>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</si>
  <si>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</si>
  <si>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Upītes feldšeru-vecmāšu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</si>
  <si>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</si>
  <si>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</si>
  <si>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</si>
  <si>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</si>
  <si>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</si>
  <si>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Sporta pasākumi novadā</t>
  </si>
  <si>
    <t>Kultūra</t>
  </si>
  <si>
    <t>Bibliotēkas</t>
  </si>
  <si>
    <t>Muzeji</t>
  </si>
  <si>
    <t>Balvu novada muzejs</t>
  </si>
  <si>
    <t>Kultūras nami</t>
  </si>
  <si>
    <t>Nemateriālās kultūras mantojuma centrs "Upīte"</t>
  </si>
  <si>
    <t>Balvu kultūras un atpūtas centra pasākumi</t>
  </si>
  <si>
    <t>08.600</t>
  </si>
  <si>
    <t>Pārējā citur neklasificētā kultūra</t>
  </si>
  <si>
    <t>Nacionālo partizānu mītnes vietnes (pilsētiņas) Stompaku purvā atjaunošana</t>
  </si>
  <si>
    <t>09.000</t>
  </si>
  <si>
    <t>Izglītība</t>
  </si>
  <si>
    <t>Pirmsskolas izglītība</t>
  </si>
  <si>
    <t>Pamatizglītība, vispārējā un profesionālā izglītība</t>
  </si>
  <si>
    <t>Pamatskola</t>
  </si>
  <si>
    <t>Bērzpils pamatskolas Krišjāņu pirmsskolas grupa</t>
  </si>
  <si>
    <t>Vidusskolas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</si>
  <si>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</si>
  <si>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</si>
  <si>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</si>
  <si>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</si>
  <si>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</si>
  <si>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</si>
  <si>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</si>
  <si>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</si>
  <si>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</si>
  <si>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</si>
  <si>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Domes priekšsēdētājs                                                                                               S.Maksimovs</t>
  </si>
  <si>
    <t>Balvu novada pašvaldības pamatbudžeta izdevumi 2023.gadam (EUR)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</si>
  <si>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</si>
  <si>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</si>
  <si>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</si>
  <si>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</si>
  <si>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</si>
  <si>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</si>
  <si>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Vecumu pagasta teritorijas apsaimniekošana</t>
  </si>
  <si>
    <t>Rekavas komunālā saimniecība - apkure</t>
  </si>
  <si>
    <t>Žīguru komunālā saimniecība - ūdens</t>
  </si>
  <si>
    <t>2.pielikums</t>
  </si>
  <si>
    <t>Balvu novada pašvaldības pamatbudžeta ieņēmumi 2023.gadam (EUR)</t>
  </si>
  <si>
    <t>Ieņēmumi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</si>
  <si>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</si>
  <si>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</si>
  <si>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</si>
  <si>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</si>
  <si>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</si>
  <si>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</si>
  <si>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</si>
  <si>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</si>
  <si>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</si>
  <si>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</si>
  <si>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</si>
  <si>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</si>
  <si>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</si>
  <si>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</si>
  <si>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</si>
  <si>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</si>
  <si>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</si>
  <si>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</si>
  <si>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</si>
  <si>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</si>
  <si>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</si>
  <si>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</si>
  <si>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</si>
  <si>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</si>
  <si>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</si>
  <si>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</si>
  <si>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</si>
  <si>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</si>
  <si>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</si>
  <si>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</si>
  <si>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</si>
  <si>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</si>
  <si>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</si>
  <si>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</si>
  <si>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</si>
  <si>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</si>
  <si>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</si>
  <si>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</si>
  <si>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</si>
  <si>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</si>
  <si>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</si>
  <si>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</si>
  <si>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</si>
  <si>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</si>
  <si>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</si>
  <si>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</si>
  <si>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</si>
  <si>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</si>
  <si>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</si>
  <si>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</si>
  <si>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</si>
  <si>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</si>
  <si>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</si>
  <si>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</si>
  <si>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</si>
  <si>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</si>
  <si>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</si>
  <si>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</si>
  <si>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</si>
  <si>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</si>
  <si>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</si>
  <si>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</si>
  <si>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9.5.2.1.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</si>
  <si>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</si>
  <si>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</si>
  <si>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</si>
  <si>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</si>
  <si>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</si>
  <si>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</si>
  <si>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</si>
  <si>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</si>
  <si>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</si>
  <si>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</si>
  <si>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</si>
  <si>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</si>
  <si>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</si>
  <si>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</si>
  <si>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</si>
  <si>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</si>
  <si>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</si>
  <si>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</si>
  <si>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</si>
  <si>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</si>
  <si>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17.0.0.0.</t>
  </si>
  <si>
    <t>NO VALSTS BUDŽETA DAĻĒJI FINANSĒTO PUBLISKO PERSONU UN BUDŽETA NEFINANSĒTO IESTĀŽU TRANSFERTI</t>
  </si>
  <si>
    <t>Latgales plānošanas reģiona finansējums projektam "Deinstitucionalizācijas pasākumu īstenošana Latgales reģionā"</t>
  </si>
  <si>
    <t>17.2.0.0.</t>
  </si>
  <si>
    <t>18.0.0.0.</t>
  </si>
  <si>
    <t>VALSTS BUDŽETA TRANSFERTI</t>
  </si>
  <si>
    <t>18.6.2.0.</t>
  </si>
  <si>
    <t>Pašvaldības saņemtie valsts budžeta transferti noteiktam mērķim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</si>
  <si>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</si>
  <si>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</si>
  <si>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</si>
  <si>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Mērķdotācija audžuģimenēm par bērna uzturnaudas palielināšanu</t>
  </si>
  <si>
    <t>Valsts dotācija autoceļu (ielu) uzturēšanai</t>
  </si>
  <si>
    <t>Valsts dotācija sporta skolai</t>
  </si>
  <si>
    <t>Valsts dotācija mūzikas un mākslas skolām</t>
  </si>
  <si>
    <t>Valsts dotācija 1.-4.klašu brīvpusdienu daļējai apmaksai</t>
  </si>
  <si>
    <t>MD māksliniecisko kolektīvu vadītāju darba samaksai un valsts sociālās apdrošināšanas obligātajām iemaksām</t>
  </si>
  <si>
    <t>Valsts un pašvaldības vienotā klientu apkalpošanas centra uzturēšana</t>
  </si>
  <si>
    <t>Latvijas Skolas soma</t>
  </si>
  <si>
    <t>Feldšerpunktu dotācija</t>
  </si>
  <si>
    <t>LM finansējums asistenta pakalpojumiem personām ar invaliditāti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</si>
  <si>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</si>
  <si>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</si>
  <si>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</si>
  <si>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18.6.4.0.</t>
  </si>
  <si>
    <t>Pašvaldību budžetā saņemta dotācijas no pašvaldības finanšu izlīdzināšanas fonda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</si>
  <si>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</si>
  <si>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</si>
  <si>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</si>
  <si>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</si>
  <si>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</si>
  <si>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21.3.7.0.</t>
  </si>
  <si>
    <t>Ieņēmumi par dokumentu izsniegšanu un kancelejas pakalpojumiem</t>
  </si>
  <si>
    <t>21.3.8.0.</t>
  </si>
  <si>
    <t>Ieņēmumi par nomu un īri</t>
  </si>
  <si>
    <t>21.3.8.1.</t>
  </si>
  <si>
    <t>21.3.8.3.</t>
  </si>
  <si>
    <t>Ieņēmumi no kustamā īpašuma iznomāšanas</t>
  </si>
  <si>
    <t>21.3.8.4.</t>
  </si>
  <si>
    <t>Ieņēmumi par zemes nomu</t>
  </si>
  <si>
    <t>21.3.8.9.</t>
  </si>
  <si>
    <t>Pārējie ieņēmumi par nomu un īri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</si>
  <si>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</si>
  <si>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</si>
  <si>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</si>
  <si>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</si>
  <si>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</si>
  <si>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</si>
  <si>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21.3.9.3.</t>
  </si>
  <si>
    <t>Ieņēmumi par biļešu realizāciju</t>
  </si>
  <si>
    <t>21.3.9.4.</t>
  </si>
  <si>
    <t>Ieņēmumi par dzīvokļu un komunālajiem pakalpojumiem</t>
  </si>
  <si>
    <t>21.3.9.4.2.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</si>
  <si>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</si>
  <si>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</si>
  <si>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</si>
  <si>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</si>
  <si>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</si>
  <si>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</si>
  <si>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</si>
  <si>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</si>
  <si>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</si>
  <si>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</si>
  <si>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21.3.9.9.7.</t>
  </si>
  <si>
    <t>Ieņēmumi no darbinieku ēdināšanas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</si>
  <si>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</si>
  <si>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</si>
  <si>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</si>
  <si>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</si>
  <si>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21.4.9.0.</t>
  </si>
  <si>
    <t>Citi iepriekš neklasificētie pašu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</si>
  <si>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</si>
  <si>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</si>
  <si>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</si>
  <si>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</si>
  <si>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</si>
  <si>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</si>
  <si>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</si>
  <si>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</si>
  <si>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</si>
  <si>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</si>
  <si>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</si>
  <si>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</si>
  <si>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</si>
  <si>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</si>
  <si>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</si>
  <si>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</si>
  <si>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</si>
  <si>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</si>
  <si>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</si>
  <si>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</si>
  <si>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</si>
  <si>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</si>
  <si>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</si>
  <si>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</si>
  <si>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</si>
  <si>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</si>
  <si>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</si>
  <si>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</si>
  <si>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</si>
  <si>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</si>
  <si>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</si>
  <si>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</si>
  <si>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</si>
  <si>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</si>
  <si>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</si>
  <si>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</si>
  <si>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</si>
  <si>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</si>
  <si>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</si>
  <si>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</si>
  <si>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</si>
  <si>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</si>
  <si>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</si>
  <si>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</si>
  <si>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</si>
  <si>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</si>
  <si>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</si>
  <si>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</si>
  <si>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</si>
  <si>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</si>
  <si>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</si>
  <si>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</si>
  <si>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</si>
  <si>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</si>
  <si>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</si>
  <si>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</si>
  <si>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</si>
  <si>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</si>
  <si>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</si>
  <si>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</si>
  <si>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</si>
  <si>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</si>
  <si>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</si>
  <si>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</si>
  <si>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</si>
  <si>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</si>
  <si>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</si>
  <si>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</si>
  <si>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</si>
  <si>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</si>
  <si>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Balvu novada pašvaldības pamatbudžets 2023.gadam ( EUR)</t>
  </si>
  <si>
    <t>Balvu muižas apbūves tematiskā plānojuma izstrāde</t>
  </si>
  <si>
    <t>F40020010</t>
  </si>
  <si>
    <t>Atlikums             uz gada sākumu</t>
  </si>
  <si>
    <t>Ģimenei draudzīgākā pašvaldība 2022</t>
  </si>
  <si>
    <t>Valsts dotācija Ukrainas civiliedzīvotāju izmitināšanas iespējām</t>
  </si>
  <si>
    <t>Ukrainas civiliedzīvotāju izmitināšanas iespējām</t>
  </si>
  <si>
    <t>Veļas mājas pakalpojumi iedzīvotājiem Baltinavā</t>
  </si>
  <si>
    <t>Projekts ERASMUS+ akreditācija
Nr. 2021-1-LV01-KA121-SCH-000006935 2 Rugāju vidusskola</t>
  </si>
  <si>
    <t>Atbalsts mājsaimniecībām apkures izdevumu kompensēšanai</t>
  </si>
  <si>
    <t>Valsts dotācija Ukrainas civiliedzīvotāju atbalstam</t>
  </si>
  <si>
    <t>Atbalsts Ukrainas civiliedzīvotājiem un izmitināšanas iespējām</t>
  </si>
  <si>
    <t>Dotācija asistentu pakalpojumu nodrošināšanai</t>
  </si>
  <si>
    <t>Ieņēmumi par nedzīvojamā nekustamā īpašuma nomu</t>
  </si>
  <si>
    <t>PAŠVALDĪBU BUDŽETU TRANSFERTI</t>
  </si>
  <si>
    <t>19.0.0.0.</t>
  </si>
  <si>
    <t>19.2.0.0.01.</t>
  </si>
  <si>
    <t>Pašvaldību budžetu transferti</t>
  </si>
  <si>
    <t>19.0.0.0</t>
  </si>
  <si>
    <t>Pašvaldību saņemtie transferti no citām pašvaldībām</t>
  </si>
  <si>
    <t>19.2.0.0.</t>
  </si>
  <si>
    <t>Apstiprināts 2023. gadam (EUR)</t>
  </si>
  <si>
    <t>Apstiprināts 2023.gadam (EUR)</t>
  </si>
  <si>
    <t>Vectilžas komunālā saimniecība - ūdens</t>
  </si>
  <si>
    <t>Vīksnas pagasta komunālā saimniecība-ūdens</t>
  </si>
  <si>
    <t>Bērzkalnes komunālā saimniecība - ūdens</t>
  </si>
  <si>
    <t>Briežuciema komunālā saimniecība - ūdens</t>
  </si>
  <si>
    <t>Lazdulejas komunālā saimniecība - ūdens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</si>
  <si>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</si>
  <si>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</si>
  <si>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</si>
  <si>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Briežuciema komunālā saimniecība -notekūdeņu apsaimniekošana</t>
  </si>
  <si>
    <t>Vīksnas komunālā saimniecība -notekūdeņu apsaimniekošana</t>
  </si>
  <si>
    <t>Vīksnas komunālā saimniecība - ūdens</t>
  </si>
  <si>
    <t>Vidzemes ielas pārbūve</t>
  </si>
  <si>
    <t>Bērzkalnes komunālā saimniecība -notekūdeņu apsaimniekošana</t>
  </si>
  <si>
    <t>Autoceļu (ielu) uzturēšanas līdzekļu rezerves fonds</t>
  </si>
  <si>
    <t>Balvu pilsētas stadiona rekonstrukcija</t>
  </si>
  <si>
    <t>Projekts "Strengthening the entrepreneurial environment of the Balvi municipality"</t>
  </si>
  <si>
    <t>Baltinavas pagasta teritorijas apsaimniekošana</t>
  </si>
  <si>
    <t>Skolēnu pārvadāšana Susāju pārvalde</t>
  </si>
  <si>
    <t>Balvu novada domes</t>
  </si>
  <si>
    <t>Pašvaldības nodeva par būvatļaujas izdošanu vai būvniecības ieceres akceptu</t>
  </si>
  <si>
    <t>Rugāju Tautas nams</t>
  </si>
  <si>
    <t>Lazdukalna Saieta nams</t>
  </si>
  <si>
    <t>Pašvaldības infrastruktūras attīstība, uzlabojot pakalpojumu efektivitāti "Upītes Kultūrtelpā"</t>
  </si>
  <si>
    <t>Tilžas pamatskolas pirmsskolas izglītības grupa Tilžā</t>
  </si>
  <si>
    <t>Erasmus projekts "Bilimi T @kipteyiz" 2020-1-TR01-KA229-094355_2</t>
  </si>
  <si>
    <t>ERASMUS+ "My e story" projekts Balvu profesionālā un             vispārizglītojošā vidusskola 2020-1-ES01-KA229- 078654_2</t>
  </si>
  <si>
    <t>ERASMUS+ "Health For Body" projekts Balvu profesionālā un    vispārizglītojošā vidusskola 2020-1-BG01-KA229- 079124_4</t>
  </si>
  <si>
    <t>ERASMUS+ "Health For Body" projekts Balvu profesionālā    un vispārizglītojošā vidusskola 2020-1-BG01-KA229- 079124_4</t>
  </si>
  <si>
    <t>ERASMUS+ "My e story" projekts Balvu profesionālā un          vispārizglītojošā vidusskola 2020-1-ES01-KA229- 078654_2</t>
  </si>
  <si>
    <t>Žīguru Kultūras nams</t>
  </si>
  <si>
    <t>Viļakas Kultūras nams</t>
  </si>
  <si>
    <t>Tilžas Kultūras un vēstures nams</t>
  </si>
  <si>
    <t>Kubulu Kultūras nams</t>
  </si>
  <si>
    <t>Baltinavas Kultūras nams</t>
  </si>
  <si>
    <t>Latvijas neredzīgo biedrība</t>
  </si>
  <si>
    <t>Kubulu pagasta ielu pārbūve</t>
  </si>
  <si>
    <t>Dotācijas nevalstiskajām organizācijām, biedrībām projektu līdzfinansējumam, priekšfinansējumam</t>
  </si>
  <si>
    <t>Ekspozīcijas "Viļakas apkārtne vēstures līkločos" 1. posma realizācija. Viļakas muzejs.</t>
  </si>
  <si>
    <t>Ukrainas civiliedzīvotāju mērķdotācija pabalstu izmaksām</t>
  </si>
  <si>
    <t>Valsts atbalsts pašvaldībām sociālo darbinieku atlīdzības palielināšanai</t>
  </si>
  <si>
    <t>Nekustamā īpašuma nodoklis par mājokļiem-iepriekšējo gadu parādi</t>
  </si>
  <si>
    <t>Pašvaldības nodeva par reklāmas, afišu un sludinājumu izvietošanu publiskajās vietās</t>
  </si>
  <si>
    <t>Pašvaldību saņemtie transferti no valsts budžeta daļēji atvasinātām publiskām personām un no budžeta nefinansētām iestādēm</t>
  </si>
  <si>
    <t>Mērķdotācijas pašvaldības izglītības iestāžu piecgadīgo un sešgadīgo bērnu apmācības pedagogu darba samaksai un valsts soc.apdrošināšanas obligātajām iemaksām</t>
  </si>
  <si>
    <t>Valsts dotācija projektam "Pašvaldības infrastruktūras attīstība, uzlabojot pakalpojumu efektivitāti "Upītes Kultūrtelpā""</t>
  </si>
  <si>
    <t>Dotācija no līdzekļiem neparedzētiem gadījumiem atskurbtuves uzturēšanai</t>
  </si>
  <si>
    <t>Ieņēmumi izglītības funkciju nodrošināšanai</t>
  </si>
  <si>
    <t>Ieņēmumi par komunāliem pakalpojumiem</t>
  </si>
  <si>
    <t>Viļakas pilsētas komunālā saimniecība-notekūdeņu apsaimniekošana</t>
  </si>
  <si>
    <t>Vīksnas komunālā saimniecība-notekūdeņu apsaimniekošana</t>
  </si>
  <si>
    <t>Balvu profesionālā un vispārizglītojošā vidusskola</t>
  </si>
  <si>
    <t>Balvu profesionālās un vispārizglītojošās vidusskolas tālākizglītības centrs</t>
  </si>
  <si>
    <t>7.Starptautiskais mākslas plenērs Valdis Bušs 2023</t>
  </si>
  <si>
    <t>Projekts "Lasītāji satiek rakstniekus 2023" Balvu Centrālā bibliotēka</t>
  </si>
  <si>
    <t>Projekts "Akordeona iegāde Viļakas mūzikas un mākslas skolai"</t>
  </si>
  <si>
    <t>XXVII Vispārējie latviešu Dziesmu un XVII Deju svētki</t>
  </si>
  <si>
    <t>2023.gada 23.marta saistošajiem noteikumiem Nr.4/2023</t>
  </si>
  <si>
    <t>Apstiprināts ar grozījumiem 2023. gadam (EUR)</t>
  </si>
  <si>
    <t>Grozījumi (EUR)</t>
  </si>
  <si>
    <t>Grozījumi</t>
  </si>
  <si>
    <t>Projekts Erasmus+ "Demokrātijas formula" Balvu Bērnu un jauniešu centrs</t>
  </si>
  <si>
    <t>19.2.0.0.06.</t>
  </si>
  <si>
    <t>Transferti no citām pašvaldībām-projektiem</t>
  </si>
  <si>
    <t>Pārrobežu sadarbības programmas projekts "Not just Books"</t>
  </si>
  <si>
    <t>Pārrobežu sadarbības programmas projekts "Hobby-business"</t>
  </si>
  <si>
    <t>Pārrobežu sadarbības programmas projekts "Strengthening traditional crafts of Latgale"</t>
  </si>
  <si>
    <t>Pārrobežu sadarbības programmas projekts "Green Palette v2.0"</t>
  </si>
  <si>
    <t>Projektrs Nr. CERV-2022-CITIZENS-TOWN-NT "Green youth empowerment"</t>
  </si>
  <si>
    <t>Latvijas Bērnu fonds</t>
  </si>
  <si>
    <t>Pārrobežu sadarbības programmas projekts "Greenways of Latvia"</t>
  </si>
  <si>
    <t>Sporta, kultūras biedrību atbalsts</t>
  </si>
  <si>
    <t xml:space="preserve">  Kapitāldaļu iegāde līdzdalībai radniecīgo komersantu kapitālā</t>
  </si>
  <si>
    <t xml:space="preserve">  F55010012</t>
  </si>
  <si>
    <t xml:space="preserve">                                     Domes priekšsēdētājs                                                                  S.Maksimovs</t>
  </si>
  <si>
    <t>"Grozījumi 2023.gada 23.marta saistošajos noteikumos Nr.4/2023</t>
  </si>
  <si>
    <t>"Par Balvu novada pašvaldības budžetu 2023.gadam""</t>
  </si>
  <si>
    <t>Skolēnu nodarbinātība vasarā</t>
  </si>
  <si>
    <t>Nodarbinātības valsts aģentūra - skolēnu nodarbinātība vasarā</t>
  </si>
  <si>
    <t>Projekts Nr. CERV-2022-CITIZENS-TOWN-NT "Green youth empowerment"</t>
  </si>
  <si>
    <t>Viļakas vidusskola</t>
  </si>
  <si>
    <t>Valsts budžeta dotācija pašvaldībām ar zemākajiem ienākumiem</t>
  </si>
  <si>
    <t>Projekts "Interešu izglītības programmu ieviešana Latgales reģiona izglītības iestādēs"</t>
  </si>
  <si>
    <t>Operatīvā līzingā ņemto automašīnu iegāde</t>
  </si>
  <si>
    <t>grozījumi</t>
  </si>
  <si>
    <t>XVII Latgales senioru dziesmu un deju festivāls</t>
  </si>
  <si>
    <t>Baltinavas pagasta zūdošie ciemi</t>
  </si>
  <si>
    <t>Dzīšmu skreine - Baļtinovas etnogrāfisko ansambļa dzīdotos dzīsmes</t>
  </si>
  <si>
    <t>Latgales grāmatniecības īpašas lappuses</t>
  </si>
  <si>
    <t>ERAF projekta (Nr.5.6.2.0/20/I/017) "Degradēto teritoriju revitalizācija Austrumu pierobežā" īstenošanai</t>
  </si>
  <si>
    <t>Palīdzība iedzīvotājiem nelaimes gadījumā</t>
  </si>
  <si>
    <t>13.4.0.0.</t>
  </si>
  <si>
    <t>Ieņēmumi no kustamās mantas pārdošanas</t>
  </si>
  <si>
    <t>Industriālās teritorijas attīstība, revitalizējot īpašumus Balvu novadā</t>
  </si>
  <si>
    <t>Valsts finansējums Vispārējiem latviešu Dziesmu un Dēju svētkiem</t>
  </si>
  <si>
    <t>Valsts dotācija mācību grāmatu un mācību līdzekļu iegādei</t>
  </si>
  <si>
    <t>2023.gada 26.oktobra saistošajiem noteikumiem Nr.16/2023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</si>
</sst>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i/>
      <sz val="11"/>
      <name val="Times New Roman"/>
      <family val="1"/>
      <charset val="186"/>
    </font>
    <font>
      <sz val="9"/>
      <name val="Tahoma"/>
      <family val="2"/>
      <charset val="186"/>
    </font>
    <font>
      <b/>
      <sz val="9"/>
      <name val="Tahoma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u val="single"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35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3" fontId="7" fillId="0" borderId="1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8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wrapText="1"/>
    </xf>
    <xf numFmtId="3" fontId="7" fillId="0" borderId="0" xfId="0" applyNumberFormat="1" applyFont="1"/>
    <xf numFmtId="3" fontId="7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0" fontId="7" fillId="0" borderId="0" xfId="0" applyFont="1" applyAlignment="1">
      <alignment horizontal="center"/>
    </xf>
    <xf numFmtId="0" fontId="6" fillId="2" borderId="0" xfId="0" applyFont="1" applyFill="1"/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8" fillId="2" borderId="1" xfId="0" applyFont="1" applyFill="1" applyBorder="1"/>
    <xf numFmtId="3" fontId="8" fillId="2" borderId="1" xfId="0" applyNumberFormat="1" applyFont="1" applyFill="1" applyBorder="1"/>
    <xf numFmtId="0" fontId="5" fillId="2" borderId="0" xfId="0" applyFont="1" applyFill="1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3" fontId="7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7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8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1" fontId="7" fillId="2" borderId="0" xfId="0" applyNumberFormat="1" applyFont="1" applyFill="1"/>
    <xf numFmtId="3" fontId="8" fillId="2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>
      <alignment horizontal="center"/>
    </xf>
    <xf numFmtId="3" fontId="9" fillId="2" borderId="0" xfId="0" applyNumberFormat="1" applyFont="1" applyFill="1"/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 wrapText="1"/>
    </xf>
    <xf numFmtId="0" fontId="9" fillId="2" borderId="1" xfId="0" applyFont="1" applyFill="1" applyBorder="1"/>
    <xf numFmtId="3" fontId="8" fillId="2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43" fontId="8" fillId="2" borderId="1" xfId="18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horizontal="right"/>
    </xf>
    <xf numFmtId="1" fontId="7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wrapText="1"/>
    </xf>
    <xf numFmtId="3" fontId="6" fillId="2" borderId="1" xfId="0" applyNumberFormat="1" applyFont="1" applyFill="1" applyBorder="1"/>
    <xf numFmtId="3" fontId="14" fillId="2" borderId="3" xfId="0" applyNumberFormat="1" applyFont="1" applyFill="1" applyBorder="1" applyAlignment="1">
      <alignment wrapText="1"/>
    </xf>
    <xf numFmtId="3" fontId="14" fillId="2" borderId="4" xfId="0" applyNumberFormat="1" applyFont="1" applyFill="1" applyBorder="1" applyAlignment="1">
      <alignment wrapText="1"/>
    </xf>
    <xf numFmtId="3" fontId="6" fillId="2" borderId="3" xfId="0" applyNumberFormat="1" applyFont="1" applyFill="1" applyBorder="1" applyAlignment="1">
      <alignment horizontal="right" wrapText="1"/>
    </xf>
    <xf numFmtId="3" fontId="6" fillId="2" borderId="3" xfId="0" applyNumberFormat="1" applyFont="1" applyFill="1" applyBorder="1" applyAlignment="1">
      <alignment wrapText="1"/>
    </xf>
    <xf numFmtId="3" fontId="6" fillId="2" borderId="0" xfId="0" applyNumberFormat="1" applyFont="1" applyFill="1" applyAlignment="1">
      <alignment wrapText="1"/>
    </xf>
    <xf numFmtId="3" fontId="6" fillId="2" borderId="5" xfId="0" applyNumberFormat="1" applyFont="1" applyFill="1" applyBorder="1" applyAlignment="1">
      <alignment horizontal="right" wrapText="1"/>
    </xf>
    <xf numFmtId="3" fontId="6" fillId="2" borderId="5" xfId="0" applyNumberFormat="1" applyFont="1" applyFill="1" applyBorder="1" applyAlignment="1">
      <alignment wrapText="1"/>
    </xf>
    <xf numFmtId="3" fontId="6" fillId="2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wrapText="1"/>
    </xf>
    <xf numFmtId="3" fontId="5" fillId="2" borderId="1" xfId="0" applyNumberFormat="1" applyFont="1" applyFill="1" applyBorder="1"/>
    <xf numFmtId="3" fontId="6" fillId="2" borderId="6" xfId="0" applyNumberFormat="1" applyFont="1" applyFill="1" applyBorder="1" applyAlignment="1">
      <alignment horizontal="right" wrapText="1"/>
    </xf>
    <xf numFmtId="3" fontId="6" fillId="2" borderId="6" xfId="0" applyNumberFormat="1" applyFont="1" applyFill="1" applyBorder="1" applyAlignment="1">
      <alignment wrapText="1"/>
    </xf>
    <xf numFmtId="3" fontId="6" fillId="2" borderId="4" xfId="0" applyNumberFormat="1" applyFont="1" applyFill="1" applyBorder="1" applyAlignment="1">
      <alignment horizontal="right" wrapText="1"/>
    </xf>
    <xf numFmtId="3" fontId="6" fillId="2" borderId="4" xfId="0" applyNumberFormat="1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left"/>
    </xf>
    <xf numFmtId="1" fontId="5" fillId="2" borderId="0" xfId="0" applyNumberFormat="1" applyFont="1" applyFill="1" applyAlignment="1">
      <alignment vertical="top"/>
    </xf>
    <xf numFmtId="3" fontId="5" fillId="2" borderId="0" xfId="0" applyNumberFormat="1" applyFont="1" applyFill="1" applyAlignment="1">
      <alignment vertical="top"/>
    </xf>
    <xf numFmtId="0" fontId="15" fillId="2" borderId="0" xfId="0" applyFont="1" applyFill="1"/>
    <xf numFmtId="1" fontId="6" fillId="2" borderId="0" xfId="0" applyNumberFormat="1" applyFont="1" applyFill="1"/>
    <xf numFmtId="0" fontId="2" fillId="3" borderId="1" xfId="0" applyFont="1" applyFill="1" applyBorder="1" applyAlignment="1">
      <alignment wrapText="1"/>
    </xf>
    <xf numFmtId="3" fontId="6" fillId="2" borderId="0" xfId="0" applyNumberFormat="1" applyFont="1" applyFill="1" applyAlignment="1">
      <alignment horizontal="right" wrapText="1"/>
    </xf>
    <xf numFmtId="3" fontId="6" fillId="2" borderId="0" xfId="0" applyNumberFormat="1" applyFont="1" applyFill="1"/>
    <xf numFmtId="0" fontId="18" fillId="3" borderId="0" xfId="0" applyFont="1" applyFill="1" applyAlignment="1">
      <alignment wrapText="1"/>
    </xf>
    <xf numFmtId="0" fontId="2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3" fontId="5" fillId="2" borderId="0" xfId="0" applyNumberFormat="1" applyFont="1" applyFill="1"/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Komats 2" xfId="2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6" Type="http://schemas.openxmlformats.org/officeDocument/2006/relationships/worksheet" Target="worksheets/sheet4.xml" /><Relationship Id="rId3" Type="http://schemas.openxmlformats.org/officeDocument/2006/relationships/worksheet" Target="worksheets/sheet1.xml" /><Relationship Id="rId8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comments" Target="../comments4.xml" /><Relationship Id="rId3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15E01AC-33F8-402A-A7B5-DD07A8FD4626}">
  <dimension ref="A1:F77"/>
  <sheetViews>
    <sheetView zoomScale="93" zoomScaleNormal="93" workbookViewId="0" topLeftCell="A88">
      <selection pane="topLeft" activeCell="E72" sqref="E72"/>
    </sheetView>
  </sheetViews>
  <sheetFormatPr defaultColWidth="9.144285714285713" defaultRowHeight="15.75"/>
  <cols>
    <col min="1" max="1" width="65.71428571428571" style="17" customWidth="1"/>
    <col min="2" max="5" width="13.857142857142858" style="17" customWidth="1"/>
    <col min="6" max="6" width="11.285714285714286" style="17" bestFit="1" customWidth="1"/>
    <col min="7" max="16384" width="9.142857142857142" style="17"/>
  </cols>
  <sheetData>
    <row r="1" spans="5:5" ht="15.75">
      <c r="E1" s="18" t="s">
        <v>494</v>
      </c>
    </row>
    <row r="2" spans="5:5" ht="15.75">
      <c r="E2" s="19" t="s">
        <v>605</v>
      </c>
    </row>
    <row r="3" spans="5:5" ht="15.75">
      <c r="E3" s="19" t="s">
        <v>682</v>
      </c>
    </row>
    <row r="4" spans="5:5" ht="15.75">
      <c r="E4" s="19" t="s">
        <v>661</v>
      </c>
    </row>
    <row r="5" spans="5:5" ht="15.75">
      <c r="E5" s="19" t="s">
        <v>662</v>
      </c>
    </row>
    <row r="7" spans="5:5" ht="15.75">
      <c r="E7" s="18" t="s">
        <v>494</v>
      </c>
    </row>
    <row r="8" spans="5:5" ht="15.75">
      <c r="E8" s="19" t="s">
        <v>605</v>
      </c>
    </row>
    <row r="9" spans="5:5" ht="15.75">
      <c r="E9" s="19" t="s">
        <v>643</v>
      </c>
    </row>
    <row r="10" spans="2:5" ht="15.75">
      <c r="B10" s="19"/>
      <c r="C10" s="19"/>
      <c r="D10" s="19"/>
      <c r="E10" s="19" t="s">
        <v>239</v>
      </c>
    </row>
    <row r="11" ht="14.25" customHeight="1"/>
    <row r="12" ht="15" customHeight="1"/>
    <row r="13" spans="1:5" ht="15" customHeight="1">
      <c r="A13" s="10" t="s">
        <v>564</v>
      </c>
      <c r="B13" s="10"/>
      <c r="C13" s="10"/>
      <c r="D13" s="10"/>
      <c r="E13" s="10"/>
    </row>
    <row r="14" ht="15" customHeight="1"/>
    <row r="15" spans="1:5" ht="82.5" customHeight="1">
      <c r="A15" s="20" t="s">
        <v>495</v>
      </c>
      <c r="B15" s="20" t="s">
        <v>496</v>
      </c>
      <c r="C15" s="20" t="s">
        <v>585</v>
      </c>
      <c r="D15" s="20" t="s">
        <v>645</v>
      </c>
      <c r="E15" s="20" t="s">
        <v>644</v>
      </c>
    </row>
    <row r="16" spans="1:6" ht="36.75" customHeight="1">
      <c r="A16" s="21" t="s">
        <v>497</v>
      </c>
      <c r="B16" s="22"/>
      <c r="C16" s="23">
        <f t="shared" si="0" ref="C16">=C17+C19+C21+C25+C28+C30+C32+C36+C38+C40+C42+C23</f>
        <v>32647041</v>
      </c>
      <c r="D16" s="23">
        <f>D17+D19+D21+D25+D28+D30+D32+D36+D38+D40+D42+D23</f>
        <v>2695391</v>
      </c>
      <c r="E16" s="23">
        <f>E17+E19+E21+E25+E28+E30+E32+E36+E38+E40+E42+E23</f>
        <v>35342432</v>
      </c>
      <c r="F16" s="57"/>
    </row>
    <row r="17" spans="1:5" s="24" customFormat="1" ht="36.75" customHeight="1">
      <c r="A17" s="22" t="s">
        <v>344</v>
      </c>
      <c r="B17" s="22" t="s">
        <v>343</v>
      </c>
      <c r="C17" s="23">
        <f t="shared" si="1" ref="C17">=C18</f>
        <v>9705356</v>
      </c>
      <c r="D17" s="23">
        <f>D18</f>
        <v>215865</v>
      </c>
      <c r="E17" s="23">
        <f>E18</f>
        <v>9921221</v>
      </c>
    </row>
    <row r="18" spans="1:5" ht="20.25" customHeight="1">
      <c r="A18" s="25" t="s">
        <v>498</v>
      </c>
      <c r="B18" s="26" t="s">
        <v>499</v>
      </c>
      <c r="C18" s="27">
        <v>9705356</v>
      </c>
      <c r="D18" s="32">
        <f>E18-C18</f>
        <v>215865</v>
      </c>
      <c r="E18" s="27">
        <f>'2.pielikums'!E22</f>
        <v>9921221</v>
      </c>
    </row>
    <row r="19" spans="1:5" ht="21" customHeight="1">
      <c r="A19" s="28" t="s">
        <v>349</v>
      </c>
      <c r="B19" s="28" t="s">
        <v>348</v>
      </c>
      <c r="C19" s="29">
        <f t="shared" si="2" ref="C19">=C20</f>
        <v>1245954</v>
      </c>
      <c r="D19" s="29"/>
      <c r="E19" s="29">
        <f>E20</f>
        <v>1245954</v>
      </c>
    </row>
    <row r="20" spans="1:5" ht="20.25" customHeight="1">
      <c r="A20" s="30" t="s">
        <v>500</v>
      </c>
      <c r="B20" s="31" t="s">
        <v>501</v>
      </c>
      <c r="C20" s="32">
        <v>1245954</v>
      </c>
      <c r="D20" s="32"/>
      <c r="E20" s="32">
        <f>'2.pielikums'!E24</f>
        <v>1245954</v>
      </c>
    </row>
    <row r="21" spans="1:5" ht="15.75" customHeight="1">
      <c r="A21" s="28" t="s">
        <v>502</v>
      </c>
      <c r="B21" s="28" t="s">
        <v>370</v>
      </c>
      <c r="C21" s="29">
        <f t="shared" si="3" ref="C21">=C22</f>
        <v>46000</v>
      </c>
      <c r="D21" s="29"/>
      <c r="E21" s="29">
        <f>E22</f>
        <v>46000</v>
      </c>
    </row>
    <row r="22" spans="1:5" ht="20.25" customHeight="1">
      <c r="A22" s="30" t="s">
        <v>503</v>
      </c>
      <c r="B22" s="31" t="s">
        <v>504</v>
      </c>
      <c r="C22" s="32">
        <v>46000</v>
      </c>
      <c r="D22" s="32"/>
      <c r="E22" s="32">
        <f>'2.pielikums'!E35</f>
        <v>46000</v>
      </c>
    </row>
    <row r="23" spans="1:5" ht="24.75" customHeight="1">
      <c r="A23" s="28" t="s">
        <v>505</v>
      </c>
      <c r="B23" s="28" t="s">
        <v>381</v>
      </c>
      <c r="C23" s="29">
        <f t="shared" si="4" ref="C23">=C24</f>
        <v>7080</v>
      </c>
      <c r="D23" s="29"/>
      <c r="E23" s="29">
        <f>E24</f>
        <v>7080</v>
      </c>
    </row>
    <row r="24" spans="1:5" ht="36.75" customHeight="1">
      <c r="A24" s="30" t="s">
        <v>384</v>
      </c>
      <c r="B24" s="31" t="s">
        <v>383</v>
      </c>
      <c r="C24" s="32">
        <v>7080</v>
      </c>
      <c r="D24" s="32"/>
      <c r="E24" s="32">
        <f>'2.pielikums'!E42</f>
        <v>7080</v>
      </c>
    </row>
    <row r="25" spans="1:5" ht="36.75" customHeight="1">
      <c r="A25" s="28" t="s">
        <v>386</v>
      </c>
      <c r="B25" s="28" t="s">
        <v>385</v>
      </c>
      <c r="C25" s="29">
        <f t="shared" si="5" ref="C25">=C26+C27</f>
        <v>24840</v>
      </c>
      <c r="D25" s="29"/>
      <c r="E25" s="29">
        <f>E26+E27</f>
        <v>24840</v>
      </c>
    </row>
    <row r="26" spans="1:5" ht="21" customHeight="1">
      <c r="A26" s="30" t="s">
        <v>506</v>
      </c>
      <c r="B26" s="31" t="s">
        <v>507</v>
      </c>
      <c r="C26" s="32">
        <v>12690</v>
      </c>
      <c r="D26" s="32"/>
      <c r="E26" s="32">
        <f>'2.pielikums'!E44</f>
        <v>12690</v>
      </c>
    </row>
    <row r="27" spans="1:5" ht="22.5" customHeight="1">
      <c r="A27" s="30" t="s">
        <v>508</v>
      </c>
      <c r="B27" s="31" t="s">
        <v>509</v>
      </c>
      <c r="C27" s="32">
        <v>12150</v>
      </c>
      <c r="D27" s="32"/>
      <c r="E27" s="32">
        <f>'2.pielikums'!E48</f>
        <v>12150</v>
      </c>
    </row>
    <row r="28" spans="1:5" ht="19.5" customHeight="1">
      <c r="A28" s="28" t="s">
        <v>406</v>
      </c>
      <c r="B28" s="28" t="s">
        <v>405</v>
      </c>
      <c r="C28" s="29">
        <f t="shared" si="6" ref="C28">=C29</f>
        <v>4000</v>
      </c>
      <c r="D28" s="29"/>
      <c r="E28" s="29">
        <f>E29</f>
        <v>4000</v>
      </c>
    </row>
    <row r="29" spans="1:5" ht="20.25" customHeight="1">
      <c r="A29" s="30" t="s">
        <v>510</v>
      </c>
      <c r="B29" s="31" t="s">
        <v>511</v>
      </c>
      <c r="C29" s="32">
        <v>4000</v>
      </c>
      <c r="D29" s="32"/>
      <c r="E29" s="32">
        <f>'2.pielikums'!E54</f>
        <v>4000</v>
      </c>
    </row>
    <row r="30" spans="1:5" ht="21" customHeight="1">
      <c r="A30" s="28" t="s">
        <v>412</v>
      </c>
      <c r="B30" s="28" t="s">
        <v>411</v>
      </c>
      <c r="C30" s="29">
        <f t="shared" si="7" ref="C30">=C31</f>
        <v>138975</v>
      </c>
      <c r="D30" s="29">
        <f>D31</f>
        <v>13542</v>
      </c>
      <c r="E30" s="29">
        <f>E31</f>
        <v>152517</v>
      </c>
    </row>
    <row r="31" spans="1:5" ht="21" customHeight="1">
      <c r="A31" s="33" t="s">
        <v>512</v>
      </c>
      <c r="B31" s="31" t="s">
        <v>513</v>
      </c>
      <c r="C31" s="32">
        <v>138975</v>
      </c>
      <c r="D31" s="32">
        <f>E31-C31</f>
        <v>13542</v>
      </c>
      <c r="E31" s="32">
        <f>'2.pielikums'!E57</f>
        <v>152517</v>
      </c>
    </row>
    <row r="32" spans="1:5" ht="36.75" customHeight="1">
      <c r="A32" s="28" t="s">
        <v>514</v>
      </c>
      <c r="B32" s="28" t="s">
        <v>415</v>
      </c>
      <c r="C32" s="29">
        <f t="shared" si="8" ref="C32">=C33+C34</f>
        <v>420000</v>
      </c>
      <c r="D32" s="29">
        <f>D33+D34+D35</f>
        <v>85420</v>
      </c>
      <c r="E32" s="29">
        <f>E33+E34+E35</f>
        <v>505420</v>
      </c>
    </row>
    <row r="33" spans="1:5" ht="21.75" customHeight="1">
      <c r="A33" s="30" t="s">
        <v>515</v>
      </c>
      <c r="B33" s="34" t="s">
        <v>516</v>
      </c>
      <c r="C33" s="58">
        <v>20000</v>
      </c>
      <c r="D33" s="58"/>
      <c r="E33" s="32">
        <f>'2.pielikums'!E60</f>
        <v>20000</v>
      </c>
    </row>
    <row r="34" spans="1:5" ht="21" customHeight="1">
      <c r="A34" s="30" t="s">
        <v>517</v>
      </c>
      <c r="B34" s="34" t="s">
        <v>518</v>
      </c>
      <c r="C34" s="58">
        <v>400000</v>
      </c>
      <c r="D34" s="32">
        <f>E34-C34</f>
        <v>33520</v>
      </c>
      <c r="E34" s="32">
        <f>'2.pielikums'!E61</f>
        <v>433520</v>
      </c>
    </row>
    <row r="35" spans="1:5" ht="21" customHeight="1">
      <c r="A35" s="30" t="s">
        <v>678</v>
      </c>
      <c r="B35" s="34" t="s">
        <v>677</v>
      </c>
      <c r="C35" s="58">
        <v>0</v>
      </c>
      <c r="D35" s="58">
        <v>51900</v>
      </c>
      <c r="E35" s="32">
        <f>'2.pielikums'!E63</f>
        <v>51900</v>
      </c>
    </row>
    <row r="36" spans="1:5" ht="36.75" customHeight="1">
      <c r="A36" s="28" t="s">
        <v>519</v>
      </c>
      <c r="B36" s="28" t="s">
        <v>423</v>
      </c>
      <c r="C36" s="29">
        <f t="shared" si="9" ref="C36">=C37</f>
        <v>912778</v>
      </c>
      <c r="D36" s="29"/>
      <c r="E36" s="29">
        <f>E37</f>
        <v>912778</v>
      </c>
    </row>
    <row r="37" spans="1:5" ht="36.75" customHeight="1">
      <c r="A37" s="30" t="s">
        <v>520</v>
      </c>
      <c r="B37" s="31" t="s">
        <v>521</v>
      </c>
      <c r="C37" s="32">
        <v>912778</v>
      </c>
      <c r="D37" s="32"/>
      <c r="E37" s="32">
        <f>'2.pielikums'!E64</f>
        <v>912778</v>
      </c>
    </row>
    <row r="38" spans="1:5" ht="24" customHeight="1">
      <c r="A38" s="28" t="s">
        <v>522</v>
      </c>
      <c r="B38" s="28" t="s">
        <v>427</v>
      </c>
      <c r="C38" s="29">
        <f>C39</f>
        <v>14816766</v>
      </c>
      <c r="D38" s="29">
        <f t="shared" si="10" ref="D38">=D39</f>
        <v>2354674</v>
      </c>
      <c r="E38" s="29">
        <f>E39</f>
        <v>17171440</v>
      </c>
    </row>
    <row r="39" spans="1:5" ht="21" customHeight="1">
      <c r="A39" s="30" t="s">
        <v>523</v>
      </c>
      <c r="B39" s="31" t="s">
        <v>524</v>
      </c>
      <c r="C39" s="32">
        <v>14816766</v>
      </c>
      <c r="D39" s="32">
        <f>E39-C39</f>
        <v>2354674</v>
      </c>
      <c r="E39" s="32">
        <f>'2.pielikums'!E67</f>
        <v>17171440</v>
      </c>
    </row>
    <row r="40" spans="1:5" ht="21.75" customHeight="1">
      <c r="A40" s="28" t="s">
        <v>581</v>
      </c>
      <c r="B40" s="28" t="s">
        <v>582</v>
      </c>
      <c r="C40" s="29">
        <f>C41</f>
        <v>162500</v>
      </c>
      <c r="D40" s="29">
        <f>D41</f>
        <v>0</v>
      </c>
      <c r="E40" s="29">
        <f>E41</f>
        <v>162500</v>
      </c>
    </row>
    <row r="41" spans="1:5" ht="21" customHeight="1">
      <c r="A41" s="30" t="s">
        <v>583</v>
      </c>
      <c r="B41" s="31" t="s">
        <v>584</v>
      </c>
      <c r="C41" s="32">
        <v>162500</v>
      </c>
      <c r="D41" s="32">
        <f>E41-C41</f>
        <v>0</v>
      </c>
      <c r="E41" s="32">
        <f>'2.pielikums'!E112</f>
        <v>162500</v>
      </c>
    </row>
    <row r="42" spans="1:5" ht="21" customHeight="1">
      <c r="A42" s="28" t="s">
        <v>525</v>
      </c>
      <c r="B42" s="28" t="s">
        <v>526</v>
      </c>
      <c r="C42" s="29">
        <f t="shared" si="11" ref="C42">=SUM(C43:C44)</f>
        <v>5162792</v>
      </c>
      <c r="D42" s="29">
        <f>SUM(D43:D44)</f>
        <v>25890</v>
      </c>
      <c r="E42" s="29">
        <f>SUM(E43:E44)</f>
        <v>5188682</v>
      </c>
    </row>
    <row r="43" spans="1:5" ht="36.75" customHeight="1">
      <c r="A43" s="30" t="s">
        <v>527</v>
      </c>
      <c r="B43" s="31" t="s">
        <v>528</v>
      </c>
      <c r="C43" s="32">
        <v>4514960</v>
      </c>
      <c r="D43" s="32">
        <f>E43-C43</f>
        <v>13840</v>
      </c>
      <c r="E43" s="32">
        <f>'2.pielikums'!E116</f>
        <v>4528800</v>
      </c>
    </row>
    <row r="44" spans="1:5" ht="36.75" customHeight="1">
      <c r="A44" s="30" t="s">
        <v>529</v>
      </c>
      <c r="B44" s="31" t="s">
        <v>530</v>
      </c>
      <c r="C44" s="32">
        <v>647832</v>
      </c>
      <c r="D44" s="32">
        <f>E44-C44</f>
        <v>12050</v>
      </c>
      <c r="E44" s="32">
        <f>'2.pielikums'!E136</f>
        <v>659882</v>
      </c>
    </row>
    <row r="45" spans="1:6" ht="36.75" customHeight="1">
      <c r="A45" s="16" t="s">
        <v>531</v>
      </c>
      <c r="B45" s="28" t="s">
        <v>532</v>
      </c>
      <c r="C45" s="35">
        <f t="shared" si="12" ref="C45:D45">=C46</f>
        <v>37150373</v>
      </c>
      <c r="D45" s="35">
        <f t="shared" si="12"/>
        <v>2606362</v>
      </c>
      <c r="E45" s="35">
        <f>E46</f>
        <v>39756735</v>
      </c>
      <c r="F45" s="57"/>
    </row>
    <row r="46" spans="1:6" ht="36.75" customHeight="1">
      <c r="A46" s="36" t="s">
        <v>533</v>
      </c>
      <c r="B46" s="37"/>
      <c r="C46" s="35">
        <f>SUM(C47:C55)</f>
        <v>37150373</v>
      </c>
      <c r="D46" s="35">
        <f>SUM(D47:D55)</f>
        <v>2606362</v>
      </c>
      <c r="E46" s="35">
        <f>SUM(E47:E55)</f>
        <v>39756735</v>
      </c>
      <c r="F46" s="57"/>
    </row>
    <row r="47" spans="1:6" ht="18.75" customHeight="1">
      <c r="A47" s="28" t="s">
        <v>267</v>
      </c>
      <c r="B47" s="28" t="s">
        <v>266</v>
      </c>
      <c r="C47" s="29">
        <v>4437489</v>
      </c>
      <c r="D47" s="29">
        <f>E47-C47</f>
        <v>23073</v>
      </c>
      <c r="E47" s="35">
        <f>'3.pielikums'!H17</f>
        <v>4460562</v>
      </c>
      <c r="F47" s="57"/>
    </row>
    <row r="48" spans="1:6" ht="19.5" customHeight="1">
      <c r="A48" s="28" t="s">
        <v>270</v>
      </c>
      <c r="B48" s="28" t="s">
        <v>269</v>
      </c>
      <c r="C48" s="29">
        <v>315668</v>
      </c>
      <c r="D48" s="29">
        <f t="shared" si="13" ref="D48:D54">=E48-C48</f>
        <v>0</v>
      </c>
      <c r="E48" s="35">
        <f>'3.pielikums'!H49</f>
        <v>315668</v>
      </c>
      <c r="F48" s="57"/>
    </row>
    <row r="49" spans="1:6" ht="15" customHeight="1">
      <c r="A49" s="28" t="s">
        <v>272</v>
      </c>
      <c r="B49" s="28" t="s">
        <v>271</v>
      </c>
      <c r="C49" s="29">
        <v>3235711</v>
      </c>
      <c r="D49" s="29">
        <f t="shared" si="13"/>
        <v>88197</v>
      </c>
      <c r="E49" s="35">
        <f>'3.pielikums'!H53</f>
        <v>3323908</v>
      </c>
      <c r="F49" s="57"/>
    </row>
    <row r="50" spans="1:6" ht="15" customHeight="1">
      <c r="A50" s="28" t="s">
        <v>278</v>
      </c>
      <c r="B50" s="28" t="s">
        <v>277</v>
      </c>
      <c r="C50" s="29">
        <v>278308</v>
      </c>
      <c r="D50" s="29">
        <f t="shared" si="13"/>
        <v>0</v>
      </c>
      <c r="E50" s="35">
        <f>'3.pielikums'!H97</f>
        <v>278308</v>
      </c>
      <c r="F50" s="57"/>
    </row>
    <row r="51" spans="1:6" ht="15" customHeight="1">
      <c r="A51" s="28" t="s">
        <v>534</v>
      </c>
      <c r="B51" s="28" t="s">
        <v>279</v>
      </c>
      <c r="C51" s="29">
        <v>4269159</v>
      </c>
      <c r="D51" s="29">
        <f t="shared" si="13"/>
        <v>37005</v>
      </c>
      <c r="E51" s="35">
        <f>'3.pielikums'!H119</f>
        <v>4306164</v>
      </c>
      <c r="F51" s="57"/>
    </row>
    <row r="52" spans="1:6" ht="15" customHeight="1">
      <c r="A52" s="28" t="s">
        <v>286</v>
      </c>
      <c r="B52" s="28" t="s">
        <v>285</v>
      </c>
      <c r="C52" s="29">
        <v>230215</v>
      </c>
      <c r="D52" s="29">
        <f t="shared" si="13"/>
        <v>0</v>
      </c>
      <c r="E52" s="35">
        <f>'3.pielikums'!H187</f>
        <v>230215</v>
      </c>
      <c r="F52" s="57"/>
    </row>
    <row r="53" spans="1:6" ht="15" customHeight="1">
      <c r="A53" s="28" t="s">
        <v>535</v>
      </c>
      <c r="B53" s="28" t="s">
        <v>296</v>
      </c>
      <c r="C53" s="29">
        <v>4325637</v>
      </c>
      <c r="D53" s="29">
        <f t="shared" si="13"/>
        <v>132886</v>
      </c>
      <c r="E53" s="35">
        <f>'3.pielikums'!H202</f>
        <v>4458523</v>
      </c>
      <c r="F53" s="57"/>
    </row>
    <row r="54" spans="1:6" ht="15" customHeight="1">
      <c r="A54" s="28" t="s">
        <v>310</v>
      </c>
      <c r="B54" s="28" t="s">
        <v>309</v>
      </c>
      <c r="C54" s="29">
        <v>14005551</v>
      </c>
      <c r="D54" s="29">
        <f t="shared" si="13"/>
        <v>2315832</v>
      </c>
      <c r="E54" s="35">
        <f>'3.pielikums'!H258</f>
        <v>16321383</v>
      </c>
      <c r="F54" s="57"/>
    </row>
    <row r="55" spans="1:6" ht="15" customHeight="1">
      <c r="A55" s="28" t="s">
        <v>322</v>
      </c>
      <c r="B55" s="28" t="s">
        <v>321</v>
      </c>
      <c r="C55" s="29">
        <v>6052635</v>
      </c>
      <c r="D55" s="29">
        <f>E55-C55</f>
        <v>9369</v>
      </c>
      <c r="E55" s="35">
        <f>'3.pielikums'!H333</f>
        <v>6062004</v>
      </c>
      <c r="F55" s="57"/>
    </row>
    <row r="56" spans="1:6" ht="30" customHeight="1">
      <c r="A56" s="36" t="s">
        <v>536</v>
      </c>
      <c r="B56" s="37"/>
      <c r="C56" s="29">
        <f t="shared" si="14" ref="C56">=C57+C58+C59+C60+C61+C62+C63</f>
        <v>37150373</v>
      </c>
      <c r="D56" s="29">
        <f>D57+D58+D59+D60+D61+D62+D63</f>
        <v>2606362</v>
      </c>
      <c r="E56" s="29">
        <f>E57+E58+E59+E60+E61+E62+E63</f>
        <v>39756735</v>
      </c>
      <c r="F56" s="57"/>
    </row>
    <row r="57" spans="1:6" ht="15" customHeight="1">
      <c r="A57" s="28" t="s">
        <v>537</v>
      </c>
      <c r="B57" s="28" t="s">
        <v>538</v>
      </c>
      <c r="C57" s="29">
        <v>20240576</v>
      </c>
      <c r="D57" s="29">
        <f>E57-C57</f>
        <v>2237120</v>
      </c>
      <c r="E57" s="29">
        <f>'4.pielikums'!C388</f>
        <v>22477696</v>
      </c>
      <c r="F57" s="57"/>
    </row>
    <row r="58" spans="1:6" ht="15" customHeight="1">
      <c r="A58" s="28" t="s">
        <v>84</v>
      </c>
      <c r="B58" s="28" t="s">
        <v>539</v>
      </c>
      <c r="C58" s="29">
        <v>8805985</v>
      </c>
      <c r="D58" s="29">
        <f t="shared" si="15" ref="D58:D61">=E58-C58</f>
        <v>148287</v>
      </c>
      <c r="E58" s="29">
        <f>'4.pielikums'!D388</f>
        <v>8954272</v>
      </c>
      <c r="F58" s="57"/>
    </row>
    <row r="59" spans="1:6" ht="15" customHeight="1">
      <c r="A59" s="28" t="s">
        <v>85</v>
      </c>
      <c r="B59" s="28" t="s">
        <v>540</v>
      </c>
      <c r="C59" s="29">
        <v>67119</v>
      </c>
      <c r="D59" s="29">
        <f t="shared" si="15"/>
        <v>1700</v>
      </c>
      <c r="E59" s="29">
        <f>'4.pielikums'!E388</f>
        <v>68819</v>
      </c>
      <c r="F59" s="57"/>
    </row>
    <row r="60" spans="1:6" ht="15" customHeight="1">
      <c r="A60" s="28" t="s">
        <v>541</v>
      </c>
      <c r="B60" s="28" t="s">
        <v>542</v>
      </c>
      <c r="C60" s="29">
        <v>417830</v>
      </c>
      <c r="D60" s="29">
        <f>E60-C60</f>
        <v>0</v>
      </c>
      <c r="E60" s="29">
        <f>'4.pielikums'!F388</f>
        <v>417830</v>
      </c>
      <c r="F60" s="57"/>
    </row>
    <row r="61" spans="1:6" ht="15" customHeight="1">
      <c r="A61" s="28" t="s">
        <v>87</v>
      </c>
      <c r="B61" s="28" t="s">
        <v>543</v>
      </c>
      <c r="C61" s="29">
        <v>5773005</v>
      </c>
      <c r="D61" s="29">
        <f t="shared" si="15"/>
        <v>216725</v>
      </c>
      <c r="E61" s="29">
        <f>'4.pielikums'!G388</f>
        <v>5989730</v>
      </c>
      <c r="F61" s="57"/>
    </row>
    <row r="62" spans="1:6" ht="15" customHeight="1">
      <c r="A62" s="28" t="s">
        <v>228</v>
      </c>
      <c r="B62" s="28" t="s">
        <v>544</v>
      </c>
      <c r="C62" s="29">
        <v>1638346</v>
      </c>
      <c r="D62" s="29">
        <f>E62-C62</f>
        <v>2530</v>
      </c>
      <c r="E62" s="29">
        <f>'4.pielikums'!H388</f>
        <v>1640876</v>
      </c>
      <c r="F62" s="57"/>
    </row>
    <row r="63" spans="1:6" ht="30" customHeight="1">
      <c r="A63" s="28" t="s">
        <v>545</v>
      </c>
      <c r="B63" s="28" t="s">
        <v>546</v>
      </c>
      <c r="C63" s="29">
        <v>207512</v>
      </c>
      <c r="D63" s="29">
        <f>E63-C63</f>
        <v>0</v>
      </c>
      <c r="E63" s="29">
        <f>'4.pielikums'!I388</f>
        <v>207512</v>
      </c>
      <c r="F63" s="57"/>
    </row>
    <row r="64" spans="1:5" ht="30" customHeight="1">
      <c r="A64" s="38"/>
      <c r="B64" s="38"/>
      <c r="C64" s="39"/>
      <c r="D64" s="29"/>
      <c r="E64" s="39"/>
    </row>
    <row r="65" spans="1:6" ht="15" customHeight="1">
      <c r="A65" s="16" t="s">
        <v>547</v>
      </c>
      <c r="B65" s="28" t="s">
        <v>532</v>
      </c>
      <c r="C65" s="29">
        <f>C16-C45</f>
        <v>-4503332</v>
      </c>
      <c r="D65" s="29">
        <f>D16-D45</f>
        <v>89029</v>
      </c>
      <c r="E65" s="29">
        <f>E16-E45</f>
        <v>-4414303</v>
      </c>
      <c r="F65" s="57"/>
    </row>
    <row r="66" spans="1:6" ht="30" customHeight="1">
      <c r="A66" s="16" t="s">
        <v>548</v>
      </c>
      <c r="B66" s="28" t="s">
        <v>532</v>
      </c>
      <c r="C66" s="35">
        <f>C67+C72+C75</f>
        <v>4503332</v>
      </c>
      <c r="D66" s="35">
        <f>D67+D72+D75</f>
        <v>-89029.434782608412</v>
      </c>
      <c r="E66" s="35">
        <f>E67+E72+E75</f>
        <v>4414302.5652173916</v>
      </c>
      <c r="F66" s="57"/>
    </row>
    <row r="67" spans="1:6" s="40" customFormat="1" ht="15" customHeight="1">
      <c r="A67" s="28" t="s">
        <v>549</v>
      </c>
      <c r="B67" s="28" t="s">
        <v>550</v>
      </c>
      <c r="C67" s="35">
        <f>C68+C69</f>
        <v>2909524</v>
      </c>
      <c r="D67" s="35">
        <f t="shared" si="16" ref="D67">=D68+D69</f>
        <v>9854</v>
      </c>
      <c r="E67" s="35">
        <f>E68+E69</f>
        <v>2919378</v>
      </c>
      <c r="F67" s="57"/>
    </row>
    <row r="68" spans="1:6" s="40" customFormat="1" ht="15" customHeight="1">
      <c r="A68" s="28" t="s">
        <v>551</v>
      </c>
      <c r="B68" s="28" t="s">
        <v>552</v>
      </c>
      <c r="C68" s="29">
        <v>5214</v>
      </c>
      <c r="D68" s="29"/>
      <c r="E68" s="35">
        <v>5214</v>
      </c>
      <c r="F68" s="57"/>
    </row>
    <row r="69" spans="1:6" s="40" customFormat="1" ht="15" customHeight="1">
      <c r="A69" s="28" t="s">
        <v>553</v>
      </c>
      <c r="B69" s="28" t="s">
        <v>554</v>
      </c>
      <c r="C69" s="35">
        <f>C70-C71</f>
        <v>2904310</v>
      </c>
      <c r="D69" s="35">
        <f>D70-D71</f>
        <v>9854</v>
      </c>
      <c r="E69" s="35">
        <f>E70-E71</f>
        <v>2914164</v>
      </c>
      <c r="F69" s="57"/>
    </row>
    <row r="70" spans="1:6" ht="15" customHeight="1">
      <c r="A70" s="28" t="s">
        <v>555</v>
      </c>
      <c r="B70" s="28" t="s">
        <v>556</v>
      </c>
      <c r="C70" s="29">
        <v>3385839</v>
      </c>
      <c r="D70" s="29"/>
      <c r="E70" s="35">
        <v>3385839</v>
      </c>
      <c r="F70" s="57"/>
    </row>
    <row r="71" spans="1:6" ht="30" customHeight="1">
      <c r="A71" s="28" t="s">
        <v>557</v>
      </c>
      <c r="B71" s="28" t="s">
        <v>558</v>
      </c>
      <c r="C71" s="29">
        <v>481529</v>
      </c>
      <c r="D71" s="29">
        <v>-9854</v>
      </c>
      <c r="E71" s="35">
        <f>C71+D71</f>
        <v>471675</v>
      </c>
      <c r="F71" s="57"/>
    </row>
    <row r="72" spans="1:6" ht="15" customHeight="1">
      <c r="A72" s="28" t="s">
        <v>265</v>
      </c>
      <c r="B72" s="28" t="s">
        <v>559</v>
      </c>
      <c r="C72" s="35">
        <f t="shared" si="17" ref="C72">=C73-C74</f>
        <v>1619300</v>
      </c>
      <c r="D72" s="35">
        <f>D73-D74</f>
        <v>-48883.434782608412</v>
      </c>
      <c r="E72" s="35">
        <f>E73-E74</f>
        <v>1570416.5652173916</v>
      </c>
      <c r="F72" s="57"/>
    </row>
    <row r="73" spans="1:6" ht="15" customHeight="1">
      <c r="A73" s="28" t="s">
        <v>560</v>
      </c>
      <c r="B73" s="28" t="s">
        <v>566</v>
      </c>
      <c r="C73" s="29">
        <v>3303461</v>
      </c>
      <c r="D73" s="29">
        <f>E73-C73</f>
        <v>39623.565217391588</v>
      </c>
      <c r="E73" s="35">
        <f>'3.pielikums'!G16</f>
        <v>3343084.5652173916</v>
      </c>
      <c r="F73" s="57"/>
    </row>
    <row r="74" spans="1:6" ht="15" customHeight="1">
      <c r="A74" s="28" t="s">
        <v>561</v>
      </c>
      <c r="B74" s="28" t="s">
        <v>562</v>
      </c>
      <c r="C74" s="29">
        <v>1684161</v>
      </c>
      <c r="D74" s="29">
        <f>51529+36978</f>
        <v>88507</v>
      </c>
      <c r="E74" s="35">
        <f>C74+D74</f>
        <v>1772668</v>
      </c>
      <c r="F74" s="57"/>
    </row>
    <row r="75" spans="1:6" ht="15.75">
      <c r="A75" s="42" t="s">
        <v>658</v>
      </c>
      <c r="B75" s="42" t="s">
        <v>659</v>
      </c>
      <c r="C75" s="15">
        <v>-25492</v>
      </c>
      <c r="D75" s="35">
        <v>-50000</v>
      </c>
      <c r="E75" s="35">
        <f>D75+C75</f>
        <v>-75492</v>
      </c>
      <c r="F75" s="57"/>
    </row>
    <row r="76" spans="1:5" ht="15.75">
      <c r="A76" s="40"/>
      <c r="B76" s="40"/>
      <c r="C76" s="60"/>
      <c r="D76" s="14"/>
      <c r="E76" s="60"/>
    </row>
    <row r="77" spans="1:5" ht="15.75">
      <c r="A77" s="9" t="s">
        <v>660</v>
      </c>
      <c r="B77" s="9"/>
      <c r="C77" s="9"/>
      <c r="D77" s="9"/>
      <c r="E77" s="9"/>
    </row>
  </sheetData>
  <mergeCells count="2">
    <mergeCell ref="A13:E13"/>
    <mergeCell ref="A77:E77"/>
  </mergeCells>
  <pageMargins left="0.7" right="0.7" top="0.75" bottom="0.75" header="0.3" footer="0.3"/>
  <pageSetup orientation="portrait" paperSize="9" scale="7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A7A0626-332E-4E00-A2E6-7EA132F857F7}">
  <dimension ref="A1:F140"/>
  <sheetViews>
    <sheetView workbookViewId="0" topLeftCell="A130">
      <selection pane="topLeft" activeCell="E3" sqref="E3"/>
    </sheetView>
  </sheetViews>
  <sheetFormatPr defaultRowHeight="15"/>
  <cols>
    <col min="1" max="1" width="16.142857142857142" style="61" customWidth="1"/>
    <col min="2" max="2" width="47.142857142857146" style="61" customWidth="1"/>
    <col min="3" max="5" width="15.714285714285714" style="61" customWidth="1"/>
    <col min="6" max="6" width="11.285714285714286" style="61" bestFit="1" customWidth="1"/>
    <col min="7" max="16384" width="9.142857142857142" style="61"/>
  </cols>
  <sheetData>
    <row r="1" spans="5:5" ht="15.75">
      <c r="E1" s="63" t="s">
        <v>337</v>
      </c>
    </row>
    <row r="2" spans="5:5" ht="15.75">
      <c r="E2" s="64" t="s">
        <v>605</v>
      </c>
    </row>
    <row r="3" spans="5:5" ht="15.75">
      <c r="E3" s="64" t="s">
        <v>682</v>
      </c>
    </row>
    <row r="4" spans="5:5" ht="15.75">
      <c r="E4" s="64" t="s">
        <v>661</v>
      </c>
    </row>
    <row r="5" spans="5:5" ht="15.75">
      <c r="E5" s="64" t="s">
        <v>662</v>
      </c>
    </row>
    <row r="6" ht="15" customHeight="1"/>
    <row r="7" spans="1:5" ht="15" customHeight="1">
      <c r="A7" s="62"/>
      <c r="B7" s="62"/>
      <c r="C7" s="63"/>
      <c r="E7" s="63" t="s">
        <v>337</v>
      </c>
    </row>
    <row r="8" spans="1:5" ht="15" customHeight="1">
      <c r="A8" s="62"/>
      <c r="B8" s="62"/>
      <c r="C8" s="64"/>
      <c r="E8" s="64" t="s">
        <v>605</v>
      </c>
    </row>
    <row r="9" spans="1:5" ht="15" customHeight="1">
      <c r="A9" s="62"/>
      <c r="C9" s="64"/>
      <c r="E9" s="64" t="s">
        <v>643</v>
      </c>
    </row>
    <row r="10" spans="1:5" ht="15" customHeight="1">
      <c r="A10" s="62"/>
      <c r="B10" s="65"/>
      <c r="C10" s="64"/>
      <c r="E10" s="64" t="s">
        <v>239</v>
      </c>
    </row>
    <row r="11" spans="1:3" ht="15" customHeight="1">
      <c r="A11" s="62"/>
      <c r="B11" s="65"/>
      <c r="C11" s="62"/>
    </row>
    <row r="12" spans="1:3" ht="15" customHeight="1">
      <c r="A12" s="62"/>
      <c r="B12" s="65"/>
      <c r="C12" s="62"/>
    </row>
    <row r="13" spans="1:3" ht="15" customHeight="1">
      <c r="A13" s="62"/>
      <c r="B13" s="66"/>
      <c r="C13" s="62"/>
    </row>
    <row r="14" spans="1:5" ht="15" customHeight="1">
      <c r="A14" s="6" t="s">
        <v>338</v>
      </c>
      <c r="B14" s="6"/>
      <c r="C14" s="6"/>
      <c r="D14" s="6"/>
      <c r="E14" s="6"/>
    </row>
    <row r="15" spans="1:3" ht="15" customHeight="1">
      <c r="A15" s="62"/>
      <c r="B15" s="62"/>
      <c r="C15" s="62"/>
    </row>
    <row r="16" spans="1:5" ht="15" customHeight="1">
      <c r="A16" s="8" t="s">
        <v>258</v>
      </c>
      <c r="B16" s="5" t="s">
        <v>339</v>
      </c>
      <c r="C16" s="8" t="s">
        <v>585</v>
      </c>
      <c r="D16" s="8" t="s">
        <v>645</v>
      </c>
      <c r="E16" s="7" t="s">
        <v>644</v>
      </c>
    </row>
    <row r="17" spans="1:5" ht="44.25" customHeight="1">
      <c r="A17" s="8"/>
      <c r="B17" s="5"/>
      <c r="C17" s="8"/>
      <c r="D17" s="8"/>
      <c r="E17" s="7"/>
    </row>
    <row r="18" spans="1:6" s="69" customFormat="1" ht="15" customHeight="1">
      <c r="A18" s="11" t="s">
        <v>340</v>
      </c>
      <c r="B18" s="67" t="s">
        <v>341</v>
      </c>
      <c r="C18" s="68">
        <f>C20+C23+C35+C43+C54+C57+C59+C111+C112+C115+C68+C64+C101+C41</f>
        <v>32647041</v>
      </c>
      <c r="D18" s="68">
        <f>D20+D23+D35+D43+D54+D57+D59+D111+D112+D115+D68+D64+D101+D41</f>
        <v>2695391</v>
      </c>
      <c r="E18" s="68">
        <f>C18+D18</f>
        <v>35342432</v>
      </c>
      <c r="F18" s="134"/>
    </row>
    <row r="19" spans="1:5" s="69" customFormat="1" ht="15" customHeight="1">
      <c r="A19" s="67">
        <v>1</v>
      </c>
      <c r="B19" s="67" t="s">
        <v>342</v>
      </c>
      <c r="C19" s="68">
        <f>C20+C23+C35</f>
        <v>10997310</v>
      </c>
      <c r="D19" s="68"/>
      <c r="E19" s="68">
        <f t="shared" si="0" ref="E19:E84">=C19+D19</f>
        <v>10997310</v>
      </c>
    </row>
    <row r="20" spans="1:5" s="69" customFormat="1" ht="15" customHeight="1">
      <c r="A20" s="67" t="s">
        <v>343</v>
      </c>
      <c r="B20" s="67" t="s">
        <v>344</v>
      </c>
      <c r="C20" s="68">
        <f>C21</f>
        <v>9705356</v>
      </c>
      <c r="D20" s="68">
        <f>D21</f>
        <v>215865</v>
      </c>
      <c r="E20" s="68">
        <f t="shared" si="0"/>
        <v>9921221</v>
      </c>
    </row>
    <row r="21" spans="1:5" s="69" customFormat="1" ht="15" customHeight="1">
      <c r="A21" s="67" t="s">
        <v>345</v>
      </c>
      <c r="B21" s="67" t="s">
        <v>346</v>
      </c>
      <c r="C21" s="68">
        <f>C22</f>
        <v>9705356</v>
      </c>
      <c r="D21" s="68">
        <f>D22</f>
        <v>215865</v>
      </c>
      <c r="E21" s="68">
        <f>C21+D21</f>
        <v>9921221</v>
      </c>
    </row>
    <row r="22" spans="1:5" ht="15" customHeight="1">
      <c r="A22" s="70" t="s">
        <v>347</v>
      </c>
      <c r="B22" s="71" t="s">
        <v>346</v>
      </c>
      <c r="C22" s="72">
        <v>9705356</v>
      </c>
      <c r="D22" s="72">
        <f>88197+127668</f>
        <v>215865</v>
      </c>
      <c r="E22" s="68">
        <f t="shared" si="0"/>
        <v>9921221</v>
      </c>
    </row>
    <row r="23" spans="1:5" s="69" customFormat="1" ht="15" customHeight="1">
      <c r="A23" s="73" t="s">
        <v>348</v>
      </c>
      <c r="B23" s="67" t="s">
        <v>349</v>
      </c>
      <c r="C23" s="68">
        <f>C24</f>
        <v>1245954</v>
      </c>
      <c r="D23" s="68"/>
      <c r="E23" s="68">
        <f t="shared" si="0"/>
        <v>1245954</v>
      </c>
    </row>
    <row r="24" spans="1:5" s="69" customFormat="1" ht="15" customHeight="1">
      <c r="A24" s="67" t="s">
        <v>350</v>
      </c>
      <c r="B24" s="67" t="s">
        <v>351</v>
      </c>
      <c r="C24" s="68">
        <f>C25+C28+C32</f>
        <v>1245954</v>
      </c>
      <c r="D24" s="68"/>
      <c r="E24" s="68">
        <f t="shared" si="0"/>
        <v>1245954</v>
      </c>
    </row>
    <row r="25" spans="1:5" s="69" customFormat="1" ht="15" customHeight="1">
      <c r="A25" s="67" t="s">
        <v>352</v>
      </c>
      <c r="B25" s="67" t="s">
        <v>353</v>
      </c>
      <c r="C25" s="68">
        <f>C26+C27</f>
        <v>1114475</v>
      </c>
      <c r="D25" s="68"/>
      <c r="E25" s="68">
        <f t="shared" si="0"/>
        <v>1114475</v>
      </c>
    </row>
    <row r="26" spans="1:5" ht="30" customHeight="1">
      <c r="A26" s="71" t="s">
        <v>354</v>
      </c>
      <c r="B26" s="74" t="s">
        <v>355</v>
      </c>
      <c r="C26" s="72">
        <v>1047119</v>
      </c>
      <c r="D26" s="72"/>
      <c r="E26" s="72">
        <f t="shared" si="0"/>
        <v>1047119</v>
      </c>
    </row>
    <row r="27" spans="1:5" ht="30" customHeight="1">
      <c r="A27" s="71" t="s">
        <v>356</v>
      </c>
      <c r="B27" s="74" t="s">
        <v>357</v>
      </c>
      <c r="C27" s="72">
        <v>67356</v>
      </c>
      <c r="D27" s="72"/>
      <c r="E27" s="72">
        <f t="shared" si="0"/>
        <v>67356</v>
      </c>
    </row>
    <row r="28" spans="1:5" s="69" customFormat="1" ht="15" customHeight="1">
      <c r="A28" s="67" t="s">
        <v>358</v>
      </c>
      <c r="B28" s="67" t="s">
        <v>359</v>
      </c>
      <c r="C28" s="68">
        <f>C29+C31</f>
        <v>81363</v>
      </c>
      <c r="D28" s="68"/>
      <c r="E28" s="68">
        <f t="shared" si="0"/>
        <v>81363</v>
      </c>
    </row>
    <row r="29" spans="1:5" ht="30" customHeight="1">
      <c r="A29" s="71" t="s">
        <v>360</v>
      </c>
      <c r="B29" s="74" t="s">
        <v>361</v>
      </c>
      <c r="C29" s="72">
        <v>76097</v>
      </c>
      <c r="D29" s="72"/>
      <c r="E29" s="72">
        <f t="shared" si="0"/>
        <v>76097</v>
      </c>
    </row>
    <row r="30" spans="1:5" ht="15" customHeight="1">
      <c r="A30" s="71"/>
      <c r="B30" s="74" t="s">
        <v>362</v>
      </c>
      <c r="C30" s="72">
        <v>4954</v>
      </c>
      <c r="D30" s="72"/>
      <c r="E30" s="72">
        <f t="shared" si="0"/>
        <v>4954</v>
      </c>
    </row>
    <row r="31" spans="1:5" ht="30" customHeight="1">
      <c r="A31" s="71" t="s">
        <v>363</v>
      </c>
      <c r="B31" s="74" t="s">
        <v>364</v>
      </c>
      <c r="C31" s="72">
        <v>5266</v>
      </c>
      <c r="D31" s="72"/>
      <c r="E31" s="72">
        <f t="shared" si="0"/>
        <v>5266</v>
      </c>
    </row>
    <row r="32" spans="1:5" s="69" customFormat="1" ht="15" customHeight="1">
      <c r="A32" s="67" t="s">
        <v>365</v>
      </c>
      <c r="B32" s="75" t="s">
        <v>366</v>
      </c>
      <c r="C32" s="68">
        <f>C33+C34</f>
        <v>50116</v>
      </c>
      <c r="D32" s="68"/>
      <c r="E32" s="68">
        <f t="shared" si="0"/>
        <v>50116</v>
      </c>
    </row>
    <row r="33" spans="1:5" ht="30" customHeight="1">
      <c r="A33" s="71" t="s">
        <v>367</v>
      </c>
      <c r="B33" s="74" t="s">
        <v>368</v>
      </c>
      <c r="C33" s="72">
        <v>41969</v>
      </c>
      <c r="D33" s="72"/>
      <c r="E33" s="72">
        <f t="shared" si="0"/>
        <v>41969</v>
      </c>
    </row>
    <row r="34" spans="1:5" ht="30" customHeight="1">
      <c r="A34" s="71" t="s">
        <v>369</v>
      </c>
      <c r="B34" s="74" t="s">
        <v>627</v>
      </c>
      <c r="C34" s="72">
        <v>8147</v>
      </c>
      <c r="D34" s="72"/>
      <c r="E34" s="72">
        <f t="shared" si="0"/>
        <v>8147</v>
      </c>
    </row>
    <row r="35" spans="1:5" s="69" customFormat="1" ht="30" customHeight="1">
      <c r="A35" s="67" t="s">
        <v>370</v>
      </c>
      <c r="B35" s="75" t="s">
        <v>371</v>
      </c>
      <c r="C35" s="68">
        <f>C36+C38</f>
        <v>46000</v>
      </c>
      <c r="D35" s="68"/>
      <c r="E35" s="68">
        <f t="shared" si="0"/>
        <v>46000</v>
      </c>
    </row>
    <row r="36" spans="1:5" s="69" customFormat="1" ht="30" customHeight="1">
      <c r="A36" s="67" t="s">
        <v>372</v>
      </c>
      <c r="B36" s="75" t="s">
        <v>373</v>
      </c>
      <c r="C36" s="68">
        <f>C37</f>
        <v>9000</v>
      </c>
      <c r="D36" s="68"/>
      <c r="E36" s="68">
        <f t="shared" si="0"/>
        <v>9000</v>
      </c>
    </row>
    <row r="37" spans="1:5" ht="15" customHeight="1">
      <c r="A37" s="71" t="s">
        <v>374</v>
      </c>
      <c r="B37" s="71" t="s">
        <v>375</v>
      </c>
      <c r="C37" s="72">
        <v>9000</v>
      </c>
      <c r="D37" s="72"/>
      <c r="E37" s="72">
        <f t="shared" si="0"/>
        <v>9000</v>
      </c>
    </row>
    <row r="38" spans="1:5" s="69" customFormat="1" ht="30" customHeight="1">
      <c r="A38" s="67" t="s">
        <v>376</v>
      </c>
      <c r="B38" s="75" t="s">
        <v>377</v>
      </c>
      <c r="C38" s="68">
        <f>C39</f>
        <v>37000</v>
      </c>
      <c r="D38" s="68"/>
      <c r="E38" s="68">
        <f t="shared" si="0"/>
        <v>37000</v>
      </c>
    </row>
    <row r="39" spans="1:5" ht="15" customHeight="1">
      <c r="A39" s="71" t="s">
        <v>378</v>
      </c>
      <c r="B39" s="71" t="s">
        <v>379</v>
      </c>
      <c r="C39" s="72">
        <v>37000</v>
      </c>
      <c r="D39" s="72"/>
      <c r="E39" s="72">
        <f t="shared" si="0"/>
        <v>37000</v>
      </c>
    </row>
    <row r="40" spans="1:5" ht="15" customHeight="1">
      <c r="A40" s="67">
        <v>2</v>
      </c>
      <c r="B40" s="67" t="s">
        <v>380</v>
      </c>
      <c r="C40" s="68">
        <f>C41+C43+C54+C57+C59</f>
        <v>594895</v>
      </c>
      <c r="D40" s="68">
        <f>D41+D43+D54+D57+D59</f>
        <v>98962</v>
      </c>
      <c r="E40" s="68">
        <f t="shared" si="0"/>
        <v>693857</v>
      </c>
    </row>
    <row r="41" spans="1:5" s="69" customFormat="1" ht="15" customHeight="1">
      <c r="A41" s="67" t="s">
        <v>381</v>
      </c>
      <c r="B41" s="67" t="s">
        <v>382</v>
      </c>
      <c r="C41" s="68">
        <f>C42</f>
        <v>7080</v>
      </c>
      <c r="D41" s="68"/>
      <c r="E41" s="68">
        <f t="shared" si="0"/>
        <v>7080</v>
      </c>
    </row>
    <row r="42" spans="1:5" ht="30" customHeight="1">
      <c r="A42" s="71" t="s">
        <v>383</v>
      </c>
      <c r="B42" s="74" t="s">
        <v>384</v>
      </c>
      <c r="C42" s="72">
        <v>7080</v>
      </c>
      <c r="D42" s="72"/>
      <c r="E42" s="72">
        <f t="shared" si="0"/>
        <v>7080</v>
      </c>
    </row>
    <row r="43" spans="1:5" s="69" customFormat="1" ht="30" customHeight="1">
      <c r="A43" s="67" t="s">
        <v>385</v>
      </c>
      <c r="B43" s="75" t="s">
        <v>386</v>
      </c>
      <c r="C43" s="68">
        <f>C44+C48</f>
        <v>24840</v>
      </c>
      <c r="D43" s="68"/>
      <c r="E43" s="68">
        <f t="shared" si="0"/>
        <v>24840</v>
      </c>
    </row>
    <row r="44" spans="1:5" s="69" customFormat="1" ht="15" customHeight="1">
      <c r="A44" s="67" t="s">
        <v>387</v>
      </c>
      <c r="B44" s="75" t="s">
        <v>388</v>
      </c>
      <c r="C44" s="68">
        <f>C45+C46+C47</f>
        <v>12690</v>
      </c>
      <c r="D44" s="68"/>
      <c r="E44" s="68">
        <f t="shared" si="0"/>
        <v>12690</v>
      </c>
    </row>
    <row r="45" spans="1:5" ht="30" customHeight="1">
      <c r="A45" s="71" t="s">
        <v>389</v>
      </c>
      <c r="B45" s="74" t="s">
        <v>390</v>
      </c>
      <c r="C45" s="72">
        <v>11000</v>
      </c>
      <c r="D45" s="72"/>
      <c r="E45" s="72">
        <f t="shared" si="0"/>
        <v>11000</v>
      </c>
    </row>
    <row r="46" spans="1:5" ht="30" customHeight="1">
      <c r="A46" s="71" t="s">
        <v>391</v>
      </c>
      <c r="B46" s="74" t="s">
        <v>392</v>
      </c>
      <c r="C46" s="72">
        <v>1400</v>
      </c>
      <c r="D46" s="72"/>
      <c r="E46" s="72">
        <f t="shared" si="0"/>
        <v>1400</v>
      </c>
    </row>
    <row r="47" spans="1:5" ht="30" customHeight="1">
      <c r="A47" s="71" t="s">
        <v>393</v>
      </c>
      <c r="B47" s="74" t="s">
        <v>394</v>
      </c>
      <c r="C47" s="72">
        <v>290</v>
      </c>
      <c r="D47" s="72"/>
      <c r="E47" s="72">
        <f t="shared" si="0"/>
        <v>290</v>
      </c>
    </row>
    <row r="48" spans="1:5" s="69" customFormat="1" ht="15" customHeight="1">
      <c r="A48" s="67" t="s">
        <v>395</v>
      </c>
      <c r="B48" s="67" t="s">
        <v>396</v>
      </c>
      <c r="C48" s="68">
        <f>C49+C50+C51+C52+C53</f>
        <v>12150</v>
      </c>
      <c r="D48" s="68"/>
      <c r="E48" s="68">
        <f t="shared" si="0"/>
        <v>12150</v>
      </c>
    </row>
    <row r="49" spans="1:5" ht="28.5" customHeight="1">
      <c r="A49" s="71" t="s">
        <v>397</v>
      </c>
      <c r="B49" s="74" t="s">
        <v>398</v>
      </c>
      <c r="C49" s="72">
        <v>1000</v>
      </c>
      <c r="D49" s="72"/>
      <c r="E49" s="72">
        <f t="shared" si="0"/>
        <v>1000</v>
      </c>
    </row>
    <row r="50" spans="1:5" ht="15" customHeight="1">
      <c r="A50" s="71" t="s">
        <v>399</v>
      </c>
      <c r="B50" s="74" t="s">
        <v>400</v>
      </c>
      <c r="C50" s="72">
        <v>1000</v>
      </c>
      <c r="D50" s="72"/>
      <c r="E50" s="72">
        <f t="shared" si="0"/>
        <v>1000</v>
      </c>
    </row>
    <row r="51" spans="1:5" ht="30" customHeight="1">
      <c r="A51" s="71" t="s">
        <v>401</v>
      </c>
      <c r="B51" s="74" t="s">
        <v>628</v>
      </c>
      <c r="C51" s="72">
        <v>50</v>
      </c>
      <c r="D51" s="72"/>
      <c r="E51" s="72">
        <f t="shared" si="0"/>
        <v>50</v>
      </c>
    </row>
    <row r="52" spans="1:5" ht="30" customHeight="1">
      <c r="A52" s="71" t="s">
        <v>402</v>
      </c>
      <c r="B52" s="74" t="s">
        <v>606</v>
      </c>
      <c r="C52" s="72">
        <v>10000</v>
      </c>
      <c r="D52" s="72"/>
      <c r="E52" s="72">
        <f t="shared" si="0"/>
        <v>10000</v>
      </c>
    </row>
    <row r="53" spans="1:5" ht="15" customHeight="1">
      <c r="A53" s="71" t="s">
        <v>403</v>
      </c>
      <c r="B53" s="74" t="s">
        <v>404</v>
      </c>
      <c r="C53" s="72">
        <v>100</v>
      </c>
      <c r="D53" s="72"/>
      <c r="E53" s="72">
        <f t="shared" si="0"/>
        <v>100</v>
      </c>
    </row>
    <row r="54" spans="1:5" s="69" customFormat="1" ht="15" customHeight="1">
      <c r="A54" s="67" t="s">
        <v>405</v>
      </c>
      <c r="B54" s="67" t="s">
        <v>406</v>
      </c>
      <c r="C54" s="68">
        <f>C55+C56</f>
        <v>4000</v>
      </c>
      <c r="D54" s="68"/>
      <c r="E54" s="68">
        <f t="shared" si="0"/>
        <v>4000</v>
      </c>
    </row>
    <row r="55" spans="1:5" ht="15" customHeight="1">
      <c r="A55" s="71" t="s">
        <v>407</v>
      </c>
      <c r="B55" s="74" t="s">
        <v>408</v>
      </c>
      <c r="C55" s="72">
        <v>3500</v>
      </c>
      <c r="D55" s="72"/>
      <c r="E55" s="72">
        <f t="shared" si="0"/>
        <v>3500</v>
      </c>
    </row>
    <row r="56" spans="1:5" ht="30" customHeight="1">
      <c r="A56" s="71" t="s">
        <v>409</v>
      </c>
      <c r="B56" s="74" t="s">
        <v>410</v>
      </c>
      <c r="C56" s="72">
        <v>500</v>
      </c>
      <c r="D56" s="72"/>
      <c r="E56" s="72">
        <f t="shared" si="0"/>
        <v>500</v>
      </c>
    </row>
    <row r="57" spans="1:5" s="69" customFormat="1" ht="15" customHeight="1">
      <c r="A57" s="67" t="s">
        <v>411</v>
      </c>
      <c r="B57" s="75" t="s">
        <v>412</v>
      </c>
      <c r="C57" s="68">
        <f>C58</f>
        <v>138975</v>
      </c>
      <c r="D57" s="68">
        <f>D58</f>
        <v>13542</v>
      </c>
      <c r="E57" s="68">
        <f t="shared" si="0"/>
        <v>152517</v>
      </c>
    </row>
    <row r="58" spans="1:5" ht="30" customHeight="1">
      <c r="A58" s="71" t="s">
        <v>413</v>
      </c>
      <c r="B58" s="74" t="s">
        <v>414</v>
      </c>
      <c r="C58" s="72">
        <v>138975</v>
      </c>
      <c r="D58" s="72">
        <f>9266+1060+638+2578</f>
        <v>13542</v>
      </c>
      <c r="E58" s="72">
        <f t="shared" si="0"/>
        <v>152517</v>
      </c>
    </row>
    <row r="59" spans="1:5" s="69" customFormat="1" ht="30" customHeight="1">
      <c r="A59" s="67" t="s">
        <v>415</v>
      </c>
      <c r="B59" s="75" t="s">
        <v>416</v>
      </c>
      <c r="C59" s="68">
        <f>C60+C61</f>
        <v>420000</v>
      </c>
      <c r="D59" s="68">
        <f>D60+D61+D63</f>
        <v>85420</v>
      </c>
      <c r="E59" s="68">
        <f t="shared" si="0"/>
        <v>505420</v>
      </c>
    </row>
    <row r="60" spans="1:5" ht="15" customHeight="1">
      <c r="A60" s="71" t="s">
        <v>417</v>
      </c>
      <c r="B60" s="74" t="s">
        <v>418</v>
      </c>
      <c r="C60" s="72">
        <v>20000</v>
      </c>
      <c r="D60" s="72"/>
      <c r="E60" s="72">
        <f t="shared" si="0"/>
        <v>20000</v>
      </c>
    </row>
    <row r="61" spans="1:5" ht="15" customHeight="1">
      <c r="A61" s="71" t="s">
        <v>419</v>
      </c>
      <c r="B61" s="71" t="s">
        <v>420</v>
      </c>
      <c r="C61" s="72">
        <f>C62</f>
        <v>400000</v>
      </c>
      <c r="D61" s="72">
        <f>D62</f>
        <v>33520</v>
      </c>
      <c r="E61" s="72">
        <f t="shared" si="0"/>
        <v>433520</v>
      </c>
    </row>
    <row r="62" spans="1:5" ht="15" customHeight="1">
      <c r="A62" s="71" t="s">
        <v>421</v>
      </c>
      <c r="B62" s="71" t="s">
        <v>422</v>
      </c>
      <c r="C62" s="72">
        <v>400000</v>
      </c>
      <c r="D62" s="72">
        <v>33520</v>
      </c>
      <c r="E62" s="72">
        <f t="shared" si="0"/>
        <v>433520</v>
      </c>
    </row>
    <row r="63" spans="1:5" ht="15" customHeight="1">
      <c r="A63" s="71" t="s">
        <v>677</v>
      </c>
      <c r="B63" s="71" t="s">
        <v>678</v>
      </c>
      <c r="C63" s="72">
        <v>0</v>
      </c>
      <c r="D63" s="72">
        <f>1900+50000</f>
        <v>51900</v>
      </c>
      <c r="E63" s="72">
        <f t="shared" si="0"/>
        <v>51900</v>
      </c>
    </row>
    <row r="64" spans="1:5" s="69" customFormat="1" ht="47.1" customHeight="1">
      <c r="A64" s="67" t="s">
        <v>423</v>
      </c>
      <c r="B64" s="75" t="s">
        <v>424</v>
      </c>
      <c r="C64" s="68">
        <f>C65+C66</f>
        <v>912778</v>
      </c>
      <c r="D64" s="68"/>
      <c r="E64" s="68">
        <f t="shared" si="0"/>
        <v>912778</v>
      </c>
    </row>
    <row r="65" spans="1:5" ht="47.1" customHeight="1">
      <c r="A65" s="71" t="s">
        <v>426</v>
      </c>
      <c r="B65" s="76" t="s">
        <v>425</v>
      </c>
      <c r="C65" s="72">
        <v>462678</v>
      </c>
      <c r="D65" s="72"/>
      <c r="E65" s="72">
        <f t="shared" si="0"/>
        <v>462678</v>
      </c>
    </row>
    <row r="66" spans="1:5" ht="47.1" customHeight="1">
      <c r="A66" s="71" t="s">
        <v>426</v>
      </c>
      <c r="B66" s="76" t="s">
        <v>629</v>
      </c>
      <c r="C66" s="72">
        <v>450100</v>
      </c>
      <c r="D66" s="72"/>
      <c r="E66" s="72">
        <f t="shared" si="0"/>
        <v>450100</v>
      </c>
    </row>
    <row r="67" spans="1:5" s="69" customFormat="1" ht="15" customHeight="1">
      <c r="A67" s="67" t="s">
        <v>427</v>
      </c>
      <c r="B67" s="67" t="s">
        <v>428</v>
      </c>
      <c r="C67" s="68">
        <f>C68+C101+C111</f>
        <v>14816766</v>
      </c>
      <c r="D67" s="68">
        <f>D68+D101+D111</f>
        <v>2354674</v>
      </c>
      <c r="E67" s="68">
        <f t="shared" si="0"/>
        <v>17171440</v>
      </c>
    </row>
    <row r="68" spans="1:5" s="69" customFormat="1" ht="30" customHeight="1">
      <c r="A68" s="67" t="s">
        <v>429</v>
      </c>
      <c r="B68" s="75" t="s">
        <v>430</v>
      </c>
      <c r="C68" s="68">
        <f>SUM(C69:C100)</f>
        <v>7110600</v>
      </c>
      <c r="D68" s="68">
        <f>SUM(D69:D100)</f>
        <v>2259111</v>
      </c>
      <c r="E68" s="68">
        <f>C68+D68</f>
        <v>9369711</v>
      </c>
    </row>
    <row r="69" spans="1:5" ht="45" customHeight="1">
      <c r="A69" s="71" t="s">
        <v>429</v>
      </c>
      <c r="B69" s="74" t="s">
        <v>431</v>
      </c>
      <c r="C69" s="72">
        <v>2803536</v>
      </c>
      <c r="D69" s="72">
        <v>1448332</v>
      </c>
      <c r="E69" s="72">
        <f t="shared" si="0"/>
        <v>4251868</v>
      </c>
    </row>
    <row r="70" spans="1:5" ht="60" customHeight="1">
      <c r="A70" s="71" t="s">
        <v>429</v>
      </c>
      <c r="B70" s="74" t="s">
        <v>432</v>
      </c>
      <c r="C70" s="72">
        <v>152480</v>
      </c>
      <c r="D70" s="72">
        <v>81064</v>
      </c>
      <c r="E70" s="72">
        <f t="shared" si="0"/>
        <v>233544</v>
      </c>
    </row>
    <row r="71" spans="1:5" ht="45" customHeight="1">
      <c r="A71" s="71" t="s">
        <v>429</v>
      </c>
      <c r="B71" s="74" t="s">
        <v>433</v>
      </c>
      <c r="C71" s="72">
        <v>128272</v>
      </c>
      <c r="D71" s="72">
        <v>70317</v>
      </c>
      <c r="E71" s="72">
        <f t="shared" si="0"/>
        <v>198589</v>
      </c>
    </row>
    <row r="72" spans="1:5" ht="60" customHeight="1">
      <c r="A72" s="71" t="s">
        <v>429</v>
      </c>
      <c r="B72" s="74" t="s">
        <v>630</v>
      </c>
      <c r="C72" s="72">
        <v>380944</v>
      </c>
      <c r="D72" s="72">
        <v>235888</v>
      </c>
      <c r="E72" s="72">
        <f>C72+D72</f>
        <v>616832</v>
      </c>
    </row>
    <row r="73" spans="1:5" ht="30" customHeight="1">
      <c r="A73" s="71" t="s">
        <v>429</v>
      </c>
      <c r="B73" s="74" t="s">
        <v>434</v>
      </c>
      <c r="C73" s="72">
        <v>25441</v>
      </c>
      <c r="D73" s="72"/>
      <c r="E73" s="72">
        <f t="shared" si="0"/>
        <v>25441</v>
      </c>
    </row>
    <row r="74" spans="1:5" ht="15" customHeight="1">
      <c r="A74" s="71" t="s">
        <v>429</v>
      </c>
      <c r="B74" s="74" t="s">
        <v>435</v>
      </c>
      <c r="C74" s="72">
        <v>943732</v>
      </c>
      <c r="D74" s="72"/>
      <c r="E74" s="72">
        <f t="shared" si="0"/>
        <v>943732</v>
      </c>
    </row>
    <row r="75" spans="1:5" ht="15" customHeight="1">
      <c r="A75" s="71" t="s">
        <v>429</v>
      </c>
      <c r="B75" s="71" t="s">
        <v>436</v>
      </c>
      <c r="C75" s="72">
        <v>277541</v>
      </c>
      <c r="D75" s="72">
        <v>12335</v>
      </c>
      <c r="E75" s="72">
        <f t="shared" si="0"/>
        <v>289876</v>
      </c>
    </row>
    <row r="76" spans="1:5" ht="15" customHeight="1">
      <c r="A76" s="71" t="s">
        <v>429</v>
      </c>
      <c r="B76" s="71" t="s">
        <v>437</v>
      </c>
      <c r="C76" s="72">
        <v>434702</v>
      </c>
      <c r="D76" s="72">
        <v>243470</v>
      </c>
      <c r="E76" s="72">
        <f t="shared" si="0"/>
        <v>678172</v>
      </c>
    </row>
    <row r="77" spans="1:5" ht="30" customHeight="1">
      <c r="A77" s="71" t="s">
        <v>429</v>
      </c>
      <c r="B77" s="74" t="s">
        <v>438</v>
      </c>
      <c r="C77" s="72">
        <v>114793</v>
      </c>
      <c r="D77" s="72">
        <v>19858</v>
      </c>
      <c r="E77" s="72">
        <f t="shared" si="0"/>
        <v>134651</v>
      </c>
    </row>
    <row r="78" spans="1:5" ht="30" customHeight="1">
      <c r="A78" s="71" t="s">
        <v>429</v>
      </c>
      <c r="B78" s="74" t="s">
        <v>681</v>
      </c>
      <c r="C78" s="72">
        <v>0</v>
      </c>
      <c r="D78" s="72">
        <v>46152</v>
      </c>
      <c r="E78" s="72">
        <f t="shared" si="0"/>
        <v>46152</v>
      </c>
    </row>
    <row r="79" spans="1:5" ht="45" customHeight="1">
      <c r="A79" s="71" t="s">
        <v>429</v>
      </c>
      <c r="B79" s="74" t="s">
        <v>631</v>
      </c>
      <c r="C79" s="72">
        <v>142073</v>
      </c>
      <c r="D79" s="72"/>
      <c r="E79" s="72">
        <f t="shared" si="0"/>
        <v>142073</v>
      </c>
    </row>
    <row r="80" spans="1:5" ht="45" customHeight="1">
      <c r="A80" s="71" t="s">
        <v>429</v>
      </c>
      <c r="B80" s="74" t="s">
        <v>439</v>
      </c>
      <c r="C80" s="72">
        <v>23722</v>
      </c>
      <c r="D80" s="72"/>
      <c r="E80" s="72">
        <f t="shared" si="0"/>
        <v>23722</v>
      </c>
    </row>
    <row r="81" spans="1:5" ht="30" customHeight="1">
      <c r="A81" s="71" t="s">
        <v>429</v>
      </c>
      <c r="B81" s="74" t="s">
        <v>440</v>
      </c>
      <c r="C81" s="72">
        <v>33980</v>
      </c>
      <c r="D81" s="72">
        <v>21600</v>
      </c>
      <c r="E81" s="72">
        <f t="shared" si="0"/>
        <v>55580</v>
      </c>
    </row>
    <row r="82" spans="1:5" ht="15" customHeight="1">
      <c r="A82" s="71" t="s">
        <v>429</v>
      </c>
      <c r="B82" s="74" t="s">
        <v>441</v>
      </c>
      <c r="C82" s="72">
        <v>11861</v>
      </c>
      <c r="D82" s="72">
        <v>12789</v>
      </c>
      <c r="E82" s="72">
        <f t="shared" si="0"/>
        <v>24650</v>
      </c>
    </row>
    <row r="83" spans="1:5" ht="30" customHeight="1">
      <c r="A83" s="71" t="s">
        <v>429</v>
      </c>
      <c r="B83" s="74" t="s">
        <v>632</v>
      </c>
      <c r="C83" s="72">
        <v>3690</v>
      </c>
      <c r="D83" s="72"/>
      <c r="E83" s="72">
        <f t="shared" si="0"/>
        <v>3690</v>
      </c>
    </row>
    <row r="84" spans="1:5" ht="15" customHeight="1">
      <c r="A84" s="71" t="s">
        <v>429</v>
      </c>
      <c r="B84" s="71" t="s">
        <v>442</v>
      </c>
      <c r="C84" s="72">
        <v>100386</v>
      </c>
      <c r="D84" s="72"/>
      <c r="E84" s="72">
        <f t="shared" si="0"/>
        <v>100386</v>
      </c>
    </row>
    <row r="85" spans="1:5" ht="15" customHeight="1">
      <c r="A85" s="71" t="s">
        <v>429</v>
      </c>
      <c r="B85" s="71" t="s">
        <v>181</v>
      </c>
      <c r="C85" s="72">
        <v>34886</v>
      </c>
      <c r="D85" s="72"/>
      <c r="E85" s="72">
        <f t="shared" si="1" ref="E85:E138">=C85+D85</f>
        <v>34886</v>
      </c>
    </row>
    <row r="86" spans="1:5" ht="30" customHeight="1">
      <c r="A86" s="71" t="s">
        <v>429</v>
      </c>
      <c r="B86" s="74" t="s">
        <v>443</v>
      </c>
      <c r="C86" s="72">
        <v>484637</v>
      </c>
      <c r="D86" s="72"/>
      <c r="E86" s="72">
        <f t="shared" si="1"/>
        <v>484637</v>
      </c>
    </row>
    <row r="87" spans="1:5" ht="30" customHeight="1">
      <c r="A87" s="71" t="s">
        <v>429</v>
      </c>
      <c r="B87" s="74" t="s">
        <v>245</v>
      </c>
      <c r="C87" s="72">
        <v>111000</v>
      </c>
      <c r="D87" s="72"/>
      <c r="E87" s="72">
        <f t="shared" si="1"/>
        <v>111000</v>
      </c>
    </row>
    <row r="88" spans="1:5" ht="30" customHeight="1">
      <c r="A88" s="71" t="s">
        <v>429</v>
      </c>
      <c r="B88" s="74" t="s">
        <v>664</v>
      </c>
      <c r="C88" s="72">
        <v>38098</v>
      </c>
      <c r="D88" s="72"/>
      <c r="E88" s="72">
        <f t="shared" si="1"/>
        <v>38098</v>
      </c>
    </row>
    <row r="89" spans="1:5" ht="15" customHeight="1">
      <c r="A89" s="71" t="s">
        <v>429</v>
      </c>
      <c r="B89" s="74" t="s">
        <v>568</v>
      </c>
      <c r="C89" s="72">
        <v>5000</v>
      </c>
      <c r="D89" s="72"/>
      <c r="E89" s="72">
        <f t="shared" si="1"/>
        <v>5000</v>
      </c>
    </row>
    <row r="90" spans="1:5" ht="15" customHeight="1">
      <c r="A90" s="71" t="s">
        <v>429</v>
      </c>
      <c r="B90" s="74" t="s">
        <v>576</v>
      </c>
      <c r="C90" s="72">
        <v>96548</v>
      </c>
      <c r="D90" s="72"/>
      <c r="E90" s="72">
        <f t="shared" si="1"/>
        <v>96548</v>
      </c>
    </row>
    <row r="91" spans="1:5" ht="15" customHeight="1">
      <c r="A91" s="71" t="s">
        <v>429</v>
      </c>
      <c r="B91" s="76" t="s">
        <v>273</v>
      </c>
      <c r="C91" s="72">
        <v>172800</v>
      </c>
      <c r="D91" s="72"/>
      <c r="E91" s="72">
        <f t="shared" si="1"/>
        <v>172800</v>
      </c>
    </row>
    <row r="92" spans="1:5" ht="15" customHeight="1">
      <c r="A92" s="71" t="s">
        <v>429</v>
      </c>
      <c r="B92" s="76" t="s">
        <v>563</v>
      </c>
      <c r="C92" s="72">
        <v>31392</v>
      </c>
      <c r="D92" s="72"/>
      <c r="E92" s="72">
        <f t="shared" si="1"/>
        <v>31392</v>
      </c>
    </row>
    <row r="93" spans="1:5" ht="32.1" customHeight="1">
      <c r="A93" s="71" t="s">
        <v>429</v>
      </c>
      <c r="B93" s="76" t="s">
        <v>573</v>
      </c>
      <c r="C93" s="72">
        <v>25701</v>
      </c>
      <c r="D93" s="72"/>
      <c r="E93" s="72">
        <f t="shared" si="1"/>
        <v>25701</v>
      </c>
    </row>
    <row r="94" spans="1:5" ht="15" customHeight="1">
      <c r="A94" s="71" t="s">
        <v>429</v>
      </c>
      <c r="B94" s="76" t="s">
        <v>574</v>
      </c>
      <c r="C94" s="72">
        <v>45466</v>
      </c>
      <c r="D94" s="72"/>
      <c r="E94" s="72">
        <f t="shared" si="1"/>
        <v>45466</v>
      </c>
    </row>
    <row r="95" spans="1:5" ht="30" customHeight="1">
      <c r="A95" s="71" t="s">
        <v>429</v>
      </c>
      <c r="B95" s="76" t="s">
        <v>569</v>
      </c>
      <c r="C95" s="72">
        <v>42157</v>
      </c>
      <c r="D95" s="72"/>
      <c r="E95" s="72">
        <f t="shared" si="1"/>
        <v>42157</v>
      </c>
    </row>
    <row r="96" spans="1:5" ht="30" customHeight="1">
      <c r="A96" s="71" t="s">
        <v>429</v>
      </c>
      <c r="B96" s="76" t="s">
        <v>625</v>
      </c>
      <c r="C96" s="72">
        <v>53978</v>
      </c>
      <c r="D96" s="72"/>
      <c r="E96" s="72">
        <f t="shared" si="1"/>
        <v>53978</v>
      </c>
    </row>
    <row r="97" spans="1:5" ht="30" customHeight="1">
      <c r="A97" s="71" t="s">
        <v>429</v>
      </c>
      <c r="B97" s="76" t="s">
        <v>626</v>
      </c>
      <c r="C97" s="72">
        <v>44978</v>
      </c>
      <c r="D97" s="72"/>
      <c r="E97" s="72">
        <f t="shared" si="1"/>
        <v>44978</v>
      </c>
    </row>
    <row r="98" spans="1:5" ht="15" customHeight="1">
      <c r="A98" s="71" t="s">
        <v>429</v>
      </c>
      <c r="B98" s="76" t="s">
        <v>444</v>
      </c>
      <c r="C98" s="72">
        <v>231715</v>
      </c>
      <c r="D98" s="72"/>
      <c r="E98" s="72">
        <f t="shared" si="1"/>
        <v>231715</v>
      </c>
    </row>
    <row r="99" spans="1:5" ht="33" customHeight="1">
      <c r="A99" s="71" t="s">
        <v>429</v>
      </c>
      <c r="B99" s="76" t="s">
        <v>680</v>
      </c>
      <c r="C99" s="72"/>
      <c r="D99" s="72">
        <v>67306</v>
      </c>
      <c r="E99" s="72">
        <f t="shared" si="1"/>
        <v>67306</v>
      </c>
    </row>
    <row r="100" spans="1:5" ht="30" customHeight="1">
      <c r="A100" s="71" t="s">
        <v>429</v>
      </c>
      <c r="B100" s="76" t="s">
        <v>667</v>
      </c>
      <c r="C100" s="72">
        <v>115091</v>
      </c>
      <c r="D100" s="72"/>
      <c r="E100" s="72">
        <f t="shared" si="1"/>
        <v>115091</v>
      </c>
    </row>
    <row r="101" spans="1:5" s="69" customFormat="1" ht="60" customHeight="1">
      <c r="A101" s="67" t="s">
        <v>445</v>
      </c>
      <c r="B101" s="75" t="s">
        <v>446</v>
      </c>
      <c r="C101" s="68">
        <v>857526</v>
      </c>
      <c r="D101" s="68">
        <f>D108+D110+D109</f>
        <v>95563</v>
      </c>
      <c r="E101" s="68">
        <f>C101+D101</f>
        <v>953089</v>
      </c>
    </row>
    <row r="102" spans="1:5" s="69" customFormat="1" ht="30" customHeight="1">
      <c r="A102" s="67"/>
      <c r="B102" s="74" t="s">
        <v>650</v>
      </c>
      <c r="C102" s="72">
        <v>72000</v>
      </c>
      <c r="D102" s="72"/>
      <c r="E102" s="68">
        <f>C102+D102</f>
        <v>72000</v>
      </c>
    </row>
    <row r="103" spans="1:5" s="69" customFormat="1" ht="30" customHeight="1">
      <c r="A103" s="67"/>
      <c r="B103" s="74" t="s">
        <v>651</v>
      </c>
      <c r="C103" s="72">
        <v>36000</v>
      </c>
      <c r="D103" s="72"/>
      <c r="E103" s="68">
        <f t="shared" si="2" ref="E103:E110">=C103+D103</f>
        <v>36000</v>
      </c>
    </row>
    <row r="104" spans="1:5" s="69" customFormat="1" ht="30" customHeight="1">
      <c r="A104" s="67"/>
      <c r="B104" s="74" t="s">
        <v>652</v>
      </c>
      <c r="C104" s="72">
        <v>18000</v>
      </c>
      <c r="D104" s="72"/>
      <c r="E104" s="68">
        <f t="shared" si="2"/>
        <v>18000</v>
      </c>
    </row>
    <row r="105" spans="1:5" s="69" customFormat="1" ht="30" customHeight="1">
      <c r="A105" s="67"/>
      <c r="B105" s="74" t="s">
        <v>656</v>
      </c>
      <c r="C105" s="72">
        <v>32207</v>
      </c>
      <c r="D105" s="72"/>
      <c r="E105" s="68">
        <f t="shared" si="2"/>
        <v>32207</v>
      </c>
    </row>
    <row r="106" spans="1:5" s="69" customFormat="1" ht="30" customHeight="1">
      <c r="A106" s="67"/>
      <c r="B106" s="74" t="s">
        <v>653</v>
      </c>
      <c r="C106" s="72">
        <v>60300</v>
      </c>
      <c r="D106" s="72"/>
      <c r="E106" s="68">
        <f t="shared" si="2"/>
        <v>60300</v>
      </c>
    </row>
    <row r="107" spans="1:5" s="69" customFormat="1" ht="30" customHeight="1">
      <c r="A107" s="67"/>
      <c r="B107" s="74" t="s">
        <v>654</v>
      </c>
      <c r="C107" s="72">
        <v>9000</v>
      </c>
      <c r="D107" s="72"/>
      <c r="E107" s="68">
        <f t="shared" si="2"/>
        <v>9000</v>
      </c>
    </row>
    <row r="108" spans="1:5" s="69" customFormat="1" ht="30" customHeight="1">
      <c r="A108" s="67"/>
      <c r="B108" s="74" t="s">
        <v>668</v>
      </c>
      <c r="C108" s="72">
        <v>0</v>
      </c>
      <c r="D108" s="72">
        <v>7056</v>
      </c>
      <c r="E108" s="68">
        <f t="shared" si="2"/>
        <v>7056</v>
      </c>
    </row>
    <row r="109" spans="1:5" s="69" customFormat="1" ht="30" customHeight="1">
      <c r="A109" s="67"/>
      <c r="B109" s="74" t="s">
        <v>679</v>
      </c>
      <c r="C109" s="72">
        <v>0</v>
      </c>
      <c r="D109" s="72">
        <v>36978</v>
      </c>
      <c r="E109" s="68">
        <f t="shared" si="2"/>
        <v>36978</v>
      </c>
    </row>
    <row r="110" spans="1:5" s="69" customFormat="1" ht="30" customHeight="1">
      <c r="A110" s="67"/>
      <c r="B110" s="74" t="s">
        <v>675</v>
      </c>
      <c r="C110" s="72"/>
      <c r="D110" s="72">
        <v>51529</v>
      </c>
      <c r="E110" s="68">
        <f t="shared" si="2"/>
        <v>51529</v>
      </c>
    </row>
    <row r="111" spans="1:5" s="69" customFormat="1" ht="30" customHeight="1">
      <c r="A111" s="67" t="s">
        <v>447</v>
      </c>
      <c r="B111" s="75" t="s">
        <v>448</v>
      </c>
      <c r="C111" s="68">
        <v>6848640</v>
      </c>
      <c r="D111" s="68"/>
      <c r="E111" s="68">
        <f t="shared" si="1"/>
        <v>6848640</v>
      </c>
    </row>
    <row r="112" spans="1:5" s="69" customFormat="1" ht="15" customHeight="1">
      <c r="A112" s="67" t="s">
        <v>579</v>
      </c>
      <c r="B112" s="75" t="s">
        <v>578</v>
      </c>
      <c r="C112" s="68">
        <f>SUM(C113:C114)</f>
        <v>162500</v>
      </c>
      <c r="D112" s="68">
        <f>SUM(D113:D114)</f>
        <v>0</v>
      </c>
      <c r="E112" s="68">
        <f t="shared" si="1"/>
        <v>162500</v>
      </c>
    </row>
    <row r="113" spans="1:5" ht="15" customHeight="1">
      <c r="A113" s="71" t="s">
        <v>580</v>
      </c>
      <c r="B113" s="74" t="s">
        <v>633</v>
      </c>
      <c r="C113" s="72">
        <v>158500</v>
      </c>
      <c r="D113" s="72"/>
      <c r="E113" s="72">
        <f t="shared" si="1"/>
        <v>158500</v>
      </c>
    </row>
    <row r="114" spans="1:5" ht="15" customHeight="1">
      <c r="A114" s="71" t="s">
        <v>648</v>
      </c>
      <c r="B114" s="74" t="s">
        <v>649</v>
      </c>
      <c r="C114" s="72">
        <v>4000</v>
      </c>
      <c r="D114" s="72"/>
      <c r="E114" s="72">
        <f t="shared" si="1"/>
        <v>4000</v>
      </c>
    </row>
    <row r="115" spans="1:5" ht="15" customHeight="1">
      <c r="A115" s="67">
        <v>3</v>
      </c>
      <c r="B115" s="67" t="s">
        <v>449</v>
      </c>
      <c r="C115" s="68">
        <f>C116+C136</f>
        <v>5162792</v>
      </c>
      <c r="D115" s="68">
        <f>D116+D136</f>
        <v>25890</v>
      </c>
      <c r="E115" s="68">
        <f t="shared" si="1"/>
        <v>5188682</v>
      </c>
    </row>
    <row r="116" spans="1:5" s="69" customFormat="1" ht="30" customHeight="1">
      <c r="A116" s="67" t="s">
        <v>450</v>
      </c>
      <c r="B116" s="75" t="s">
        <v>451</v>
      </c>
      <c r="C116" s="68">
        <v>4514960</v>
      </c>
      <c r="D116" s="68">
        <f>D117+D118+D119+D124</f>
        <v>13840</v>
      </c>
      <c r="E116" s="68">
        <f t="shared" si="1"/>
        <v>4528800</v>
      </c>
    </row>
    <row r="117" spans="1:5" s="69" customFormat="1" ht="15" customHeight="1">
      <c r="A117" s="67" t="s">
        <v>452</v>
      </c>
      <c r="B117" s="67" t="s">
        <v>453</v>
      </c>
      <c r="C117" s="68">
        <v>145040</v>
      </c>
      <c r="D117" s="68"/>
      <c r="E117" s="68">
        <f t="shared" si="1"/>
        <v>145040</v>
      </c>
    </row>
    <row r="118" spans="1:5" s="69" customFormat="1" ht="30" customHeight="1">
      <c r="A118" s="67" t="s">
        <v>454</v>
      </c>
      <c r="B118" s="75" t="s">
        <v>455</v>
      </c>
      <c r="C118" s="68">
        <v>1140</v>
      </c>
      <c r="D118" s="68"/>
      <c r="E118" s="68">
        <f t="shared" si="1"/>
        <v>1140</v>
      </c>
    </row>
    <row r="119" spans="1:5" s="69" customFormat="1" ht="15" customHeight="1">
      <c r="A119" s="67" t="s">
        <v>456</v>
      </c>
      <c r="B119" s="67" t="s">
        <v>457</v>
      </c>
      <c r="C119" s="68">
        <f>SUM(C120:C123)</f>
        <v>582842</v>
      </c>
      <c r="D119" s="68">
        <f>SUM(D120:D123)</f>
        <v>5900</v>
      </c>
      <c r="E119" s="68">
        <f>C119+D119</f>
        <v>588742</v>
      </c>
    </row>
    <row r="120" spans="1:5" ht="15" customHeight="1">
      <c r="A120" s="71" t="s">
        <v>458</v>
      </c>
      <c r="B120" s="74" t="s">
        <v>577</v>
      </c>
      <c r="C120" s="72">
        <v>189873</v>
      </c>
      <c r="D120" s="72">
        <v>5900</v>
      </c>
      <c r="E120" s="72">
        <f t="shared" si="1"/>
        <v>195773</v>
      </c>
    </row>
    <row r="121" spans="1:5" ht="15" customHeight="1">
      <c r="A121" s="71" t="s">
        <v>459</v>
      </c>
      <c r="B121" s="71" t="s">
        <v>460</v>
      </c>
      <c r="C121" s="72">
        <v>1221</v>
      </c>
      <c r="D121" s="72"/>
      <c r="E121" s="72">
        <f t="shared" si="1"/>
        <v>1221</v>
      </c>
    </row>
    <row r="122" spans="1:5" ht="15" customHeight="1">
      <c r="A122" s="71" t="s">
        <v>461</v>
      </c>
      <c r="B122" s="71" t="s">
        <v>462</v>
      </c>
      <c r="C122" s="72">
        <v>327284</v>
      </c>
      <c r="D122" s="72"/>
      <c r="E122" s="72">
        <f t="shared" si="1"/>
        <v>327284</v>
      </c>
    </row>
    <row r="123" spans="1:5" ht="15" customHeight="1">
      <c r="A123" s="71" t="s">
        <v>463</v>
      </c>
      <c r="B123" s="71" t="s">
        <v>464</v>
      </c>
      <c r="C123" s="72">
        <v>64464</v>
      </c>
      <c r="D123" s="72"/>
      <c r="E123" s="72">
        <f t="shared" si="1"/>
        <v>64464</v>
      </c>
    </row>
    <row r="124" spans="1:5" s="69" customFormat="1" ht="30" customHeight="1">
      <c r="A124" s="67" t="s">
        <v>465</v>
      </c>
      <c r="B124" s="75" t="s">
        <v>466</v>
      </c>
      <c r="C124" s="68">
        <f>SUM(C125:C135)</f>
        <v>6011740</v>
      </c>
      <c r="D124" s="68">
        <f>SUM(D125:D135)</f>
        <v>7940</v>
      </c>
      <c r="E124" s="68">
        <f t="shared" si="1"/>
        <v>6019680</v>
      </c>
    </row>
    <row r="125" spans="1:5" ht="30" customHeight="1">
      <c r="A125" s="71" t="s">
        <v>467</v>
      </c>
      <c r="B125" s="74" t="s">
        <v>468</v>
      </c>
      <c r="C125" s="72">
        <v>1451705</v>
      </c>
      <c r="D125" s="72"/>
      <c r="E125" s="72">
        <f t="shared" si="1"/>
        <v>1451705</v>
      </c>
    </row>
    <row r="126" spans="1:5" ht="30" customHeight="1">
      <c r="A126" s="71" t="s">
        <v>469</v>
      </c>
      <c r="B126" s="74" t="s">
        <v>470</v>
      </c>
      <c r="C126" s="72">
        <v>451</v>
      </c>
      <c r="D126" s="72"/>
      <c r="E126" s="72">
        <f t="shared" si="1"/>
        <v>451</v>
      </c>
    </row>
    <row r="127" spans="1:5" ht="15" customHeight="1">
      <c r="A127" s="71" t="s">
        <v>471</v>
      </c>
      <c r="B127" s="71" t="s">
        <v>472</v>
      </c>
      <c r="C127" s="72">
        <v>110992</v>
      </c>
      <c r="D127" s="72">
        <f>3883+1584</f>
        <v>5467</v>
      </c>
      <c r="E127" s="72">
        <f t="shared" si="1"/>
        <v>116459</v>
      </c>
    </row>
    <row r="128" spans="1:5" ht="30" customHeight="1">
      <c r="A128" s="71" t="s">
        <v>473</v>
      </c>
      <c r="B128" s="74" t="s">
        <v>474</v>
      </c>
      <c r="C128" s="72">
        <v>1909133</v>
      </c>
      <c r="D128" s="72"/>
      <c r="E128" s="72">
        <f t="shared" si="1"/>
        <v>1909133</v>
      </c>
    </row>
    <row r="129" spans="1:5" ht="15" customHeight="1">
      <c r="A129" s="71" t="s">
        <v>475</v>
      </c>
      <c r="B129" s="74" t="s">
        <v>634</v>
      </c>
      <c r="C129" s="72">
        <v>1301414</v>
      </c>
      <c r="D129" s="72">
        <f>1200+900</f>
        <v>2100</v>
      </c>
      <c r="E129" s="72">
        <f t="shared" si="1"/>
        <v>1303514</v>
      </c>
    </row>
    <row r="130" spans="1:5" ht="15" customHeight="1">
      <c r="A130" s="71" t="s">
        <v>476</v>
      </c>
      <c r="B130" s="71" t="s">
        <v>477</v>
      </c>
      <c r="C130" s="72">
        <v>609987</v>
      </c>
      <c r="D130" s="72"/>
      <c r="E130" s="72">
        <f t="shared" si="1"/>
        <v>609987</v>
      </c>
    </row>
    <row r="131" spans="1:5" ht="15" customHeight="1">
      <c r="A131" s="71" t="s">
        <v>478</v>
      </c>
      <c r="B131" s="74" t="s">
        <v>479</v>
      </c>
      <c r="C131" s="72">
        <v>311879</v>
      </c>
      <c r="D131" s="72"/>
      <c r="E131" s="72">
        <f t="shared" si="1"/>
        <v>311879</v>
      </c>
    </row>
    <row r="132" spans="1:5" ht="15" customHeight="1">
      <c r="A132" s="71" t="s">
        <v>480</v>
      </c>
      <c r="B132" s="74" t="s">
        <v>481</v>
      </c>
      <c r="C132" s="72">
        <v>14255</v>
      </c>
      <c r="D132" s="72"/>
      <c r="E132" s="72">
        <f t="shared" si="1"/>
        <v>14255</v>
      </c>
    </row>
    <row r="133" spans="1:5" ht="15" customHeight="1">
      <c r="A133" s="71" t="s">
        <v>482</v>
      </c>
      <c r="B133" s="74" t="s">
        <v>483</v>
      </c>
      <c r="C133" s="72">
        <v>82800</v>
      </c>
      <c r="D133" s="72"/>
      <c r="E133" s="72">
        <f t="shared" si="1"/>
        <v>82800</v>
      </c>
    </row>
    <row r="134" spans="1:5" ht="15" customHeight="1">
      <c r="A134" s="71" t="s">
        <v>484</v>
      </c>
      <c r="B134" s="71" t="s">
        <v>485</v>
      </c>
      <c r="C134" s="72">
        <v>172815</v>
      </c>
      <c r="D134" s="72">
        <v>373</v>
      </c>
      <c r="E134" s="72">
        <f>C134+D134</f>
        <v>173188</v>
      </c>
    </row>
    <row r="135" spans="1:5" ht="15" customHeight="1">
      <c r="A135" s="71" t="s">
        <v>486</v>
      </c>
      <c r="B135" s="71" t="s">
        <v>487</v>
      </c>
      <c r="C135" s="72">
        <v>46309</v>
      </c>
      <c r="D135" s="72"/>
      <c r="E135" s="72">
        <f t="shared" si="1"/>
        <v>46309</v>
      </c>
    </row>
    <row r="136" spans="1:5" s="69" customFormat="1" ht="45" customHeight="1">
      <c r="A136" s="67" t="s">
        <v>488</v>
      </c>
      <c r="B136" s="75" t="s">
        <v>489</v>
      </c>
      <c r="C136" s="68">
        <f>SUM(C137:C138)</f>
        <v>647832</v>
      </c>
      <c r="D136" s="68">
        <f>SUM(D137:D138)</f>
        <v>12050</v>
      </c>
      <c r="E136" s="68">
        <f t="shared" si="1"/>
        <v>659882</v>
      </c>
    </row>
    <row r="137" spans="1:5" ht="30" customHeight="1">
      <c r="A137" s="71" t="s">
        <v>490</v>
      </c>
      <c r="B137" s="74" t="s">
        <v>491</v>
      </c>
      <c r="C137" s="72">
        <v>5100</v>
      </c>
      <c r="D137" s="72"/>
      <c r="E137" s="72">
        <f t="shared" si="1"/>
        <v>5100</v>
      </c>
    </row>
    <row r="138" spans="1:5" ht="15" customHeight="1">
      <c r="A138" s="71" t="s">
        <v>492</v>
      </c>
      <c r="B138" s="71" t="s">
        <v>493</v>
      </c>
      <c r="C138" s="72">
        <v>642732</v>
      </c>
      <c r="D138" s="72">
        <f>4500+5000+1000+1550</f>
        <v>12050</v>
      </c>
      <c r="E138" s="72">
        <f t="shared" si="1"/>
        <v>654782</v>
      </c>
    </row>
    <row r="140" spans="2:2" s="77" customFormat="1" ht="15.75">
      <c r="B140" s="77" t="s">
        <v>326</v>
      </c>
    </row>
  </sheetData>
  <mergeCells count="6">
    <mergeCell ref="D16:D17"/>
    <mergeCell ref="E16:E17"/>
    <mergeCell ref="A14:E14"/>
    <mergeCell ref="A16:A17"/>
    <mergeCell ref="B16:B17"/>
    <mergeCell ref="C16:C17"/>
  </mergeCells>
  <pageMargins left="0.7" right="0.7" top="0.75" bottom="0.75" header="0.3" footer="0.3"/>
  <pageSetup orientation="portrait" paperSize="9" scale="7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A81870F-4709-414A-8F49-35D9083935CA}">
  <dimension ref="A1:K358"/>
  <sheetViews>
    <sheetView workbookViewId="0" topLeftCell="A364">
      <selection pane="topLeft" activeCell="H3" sqref="H3"/>
    </sheetView>
  </sheetViews>
  <sheetFormatPr defaultRowHeight="15.75"/>
  <cols>
    <col min="1" max="1" width="15.428571428571429" style="78" customWidth="1"/>
    <col min="2" max="2" width="34.714285714285715" style="78" customWidth="1"/>
    <col min="3" max="3" width="17.428571428571427" style="79" customWidth="1"/>
    <col min="4" max="4" width="17.428571428571427" style="78" customWidth="1"/>
    <col min="5" max="5" width="15.714285714285714" style="78" customWidth="1"/>
    <col min="6" max="6" width="17.428571428571427" style="78" customWidth="1"/>
    <col min="7" max="7" width="16.857142857142858" style="78" customWidth="1"/>
    <col min="8" max="8" width="17.714285714285715" style="78" customWidth="1"/>
    <col min="9" max="9" width="9.857142857142858" style="78" bestFit="1" customWidth="1"/>
    <col min="10" max="16384" width="9.142857142857142" style="78"/>
  </cols>
  <sheetData>
    <row r="1" spans="8:8" ht="15.75">
      <c r="H1" s="63" t="s">
        <v>257</v>
      </c>
    </row>
    <row r="2" spans="8:8" ht="15.75">
      <c r="H2" s="64" t="s">
        <v>605</v>
      </c>
    </row>
    <row r="3" spans="8:8" ht="15.75">
      <c r="H3" s="64" t="s">
        <v>682</v>
      </c>
    </row>
    <row r="4" spans="8:8" ht="15.75">
      <c r="H4" s="64" t="s">
        <v>661</v>
      </c>
    </row>
    <row r="5" spans="8:8" ht="15.75">
      <c r="H5" s="64" t="s">
        <v>662</v>
      </c>
    </row>
    <row r="6" spans="1:7" ht="15" customHeight="1">
      <c r="A6" s="77"/>
      <c r="B6" s="77"/>
      <c r="C6" s="77"/>
      <c r="D6" s="63"/>
      <c r="E6" s="63"/>
      <c r="F6" s="77"/>
      <c r="G6" s="63"/>
    </row>
    <row r="7" spans="1:8" ht="15" customHeight="1">
      <c r="A7" s="77"/>
      <c r="B7" s="77"/>
      <c r="C7" s="77"/>
      <c r="D7" s="64"/>
      <c r="E7" s="64"/>
      <c r="F7" s="77"/>
      <c r="G7" s="64"/>
      <c r="H7" s="63" t="s">
        <v>257</v>
      </c>
    </row>
    <row r="8" spans="1:8" ht="15" customHeight="1">
      <c r="A8" s="77"/>
      <c r="B8" s="77"/>
      <c r="C8" s="77"/>
      <c r="D8" s="64"/>
      <c r="E8" s="64"/>
      <c r="F8" s="77"/>
      <c r="G8" s="64"/>
      <c r="H8" s="64" t="s">
        <v>605</v>
      </c>
    </row>
    <row r="9" spans="1:8" ht="15" customHeight="1">
      <c r="A9" s="77"/>
      <c r="B9" s="77"/>
      <c r="C9" s="77"/>
      <c r="D9" s="77"/>
      <c r="E9" s="77"/>
      <c r="F9" s="77"/>
      <c r="G9" s="77"/>
      <c r="H9" s="64" t="s">
        <v>643</v>
      </c>
    </row>
    <row r="10" spans="1:8" ht="15" customHeight="1">
      <c r="A10" s="77"/>
      <c r="B10" s="77"/>
      <c r="C10" s="77"/>
      <c r="D10" s="77"/>
      <c r="E10" s="77"/>
      <c r="F10" s="77"/>
      <c r="G10" s="77"/>
      <c r="H10" s="64" t="s">
        <v>239</v>
      </c>
    </row>
    <row r="11" spans="1:8" ht="15" customHeight="1">
      <c r="A11" s="77"/>
      <c r="B11" s="4"/>
      <c r="C11" s="4"/>
      <c r="D11" s="4"/>
      <c r="E11" s="4"/>
      <c r="F11" s="4"/>
      <c r="G11" s="4"/>
      <c r="H11" s="77"/>
    </row>
    <row r="12" spans="1:8" ht="15" customHeight="1">
      <c r="A12" s="77"/>
      <c r="B12" s="6" t="s">
        <v>327</v>
      </c>
      <c r="C12" s="6"/>
      <c r="D12" s="6"/>
      <c r="E12" s="6"/>
      <c r="F12" s="6"/>
      <c r="G12" s="6"/>
      <c r="H12" s="77"/>
    </row>
    <row r="13" spans="1:8" ht="15" customHeight="1">
      <c r="A13" s="77"/>
      <c r="B13" s="80"/>
      <c r="C13" s="80"/>
      <c r="D13" s="81"/>
      <c r="E13" s="81"/>
      <c r="F13" s="81"/>
      <c r="G13" s="81"/>
      <c r="H13" s="82"/>
    </row>
    <row r="14" spans="1:8" ht="15" customHeight="1">
      <c r="A14" s="7" t="s">
        <v>258</v>
      </c>
      <c r="B14" s="7" t="s">
        <v>259</v>
      </c>
      <c r="C14" s="12"/>
      <c r="D14" s="3" t="s">
        <v>260</v>
      </c>
      <c r="E14" s="3"/>
      <c r="F14" s="3"/>
      <c r="G14" s="3"/>
      <c r="H14" s="5" t="s">
        <v>261</v>
      </c>
    </row>
    <row r="15" spans="1:8" ht="45" customHeight="1">
      <c r="A15" s="7"/>
      <c r="B15" s="7"/>
      <c r="C15" s="13" t="s">
        <v>567</v>
      </c>
      <c r="D15" s="13" t="s">
        <v>262</v>
      </c>
      <c r="E15" s="13" t="s">
        <v>263</v>
      </c>
      <c r="F15" s="13" t="s">
        <v>264</v>
      </c>
      <c r="G15" s="13" t="s">
        <v>265</v>
      </c>
      <c r="H15" s="5"/>
    </row>
    <row r="16" spans="1:9" ht="15" customHeight="1">
      <c r="A16" s="12"/>
      <c r="B16" s="12"/>
      <c r="C16" s="83">
        <f t="shared" si="0" ref="C16:H16">=C17+C49+C53+C119+C187+C202+C258+C333+C97</f>
        <v>1068637</v>
      </c>
      <c r="D16" s="83">
        <f t="shared" si="0"/>
        <v>17079645.434782609</v>
      </c>
      <c r="E16" s="83">
        <f t="shared" si="0"/>
        <v>4244084</v>
      </c>
      <c r="F16" s="83">
        <f t="shared" si="0"/>
        <v>13872787</v>
      </c>
      <c r="G16" s="83">
        <f t="shared" si="0"/>
        <v>3343084.5652173916</v>
      </c>
      <c r="H16" s="84">
        <f t="shared" si="0"/>
        <v>39756735</v>
      </c>
      <c r="I16" s="85"/>
    </row>
    <row r="17" spans="1:8" ht="15" customHeight="1">
      <c r="A17" s="11" t="s">
        <v>266</v>
      </c>
      <c r="B17" s="67" t="s">
        <v>267</v>
      </c>
      <c r="C17" s="68">
        <f t="shared" si="1" ref="C17:H17">=SUM(C18:C48)</f>
        <v>0</v>
      </c>
      <c r="D17" s="68">
        <f t="shared" si="1"/>
        <v>3698321.8260869565</v>
      </c>
      <c r="E17" s="68">
        <f t="shared" si="1"/>
        <v>26692</v>
      </c>
      <c r="F17" s="68">
        <f>SUM(F18:F48)</f>
        <v>67957</v>
      </c>
      <c r="G17" s="68">
        <f t="shared" si="1"/>
        <v>667591.17391304346</v>
      </c>
      <c r="H17" s="84">
        <f t="shared" si="1"/>
        <v>4460562</v>
      </c>
    </row>
    <row r="18" spans="1:8" ht="15" customHeight="1">
      <c r="A18" s="86"/>
      <c r="B18" s="71" t="s">
        <v>1</v>
      </c>
      <c r="C18" s="87"/>
      <c r="D18" s="72">
        <f>H18-E18-G18-F18-C18</f>
        <v>1584888</v>
      </c>
      <c r="E18" s="72"/>
      <c r="F18" s="72"/>
      <c r="G18" s="72"/>
      <c r="H18" s="84">
        <f>'4.pielikums'!B18</f>
        <v>1584888</v>
      </c>
    </row>
    <row r="19" spans="1:8" ht="15" customHeight="1">
      <c r="A19" s="86"/>
      <c r="B19" s="71" t="s">
        <v>2</v>
      </c>
      <c r="C19" s="87"/>
      <c r="D19" s="72">
        <f t="shared" si="2" ref="D19:D82">=H19-E19-G19-F19-C19</f>
        <v>155358</v>
      </c>
      <c r="E19" s="72"/>
      <c r="F19" s="72"/>
      <c r="G19" s="72"/>
      <c r="H19" s="84">
        <f>'4.pielikums'!B19</f>
        <v>155358</v>
      </c>
    </row>
    <row r="20" spans="1:8" ht="30" customHeight="1">
      <c r="A20" s="86"/>
      <c r="B20" s="74" t="s">
        <v>171</v>
      </c>
      <c r="C20" s="88"/>
      <c r="D20" s="72">
        <f t="shared" si="2"/>
        <v>250642</v>
      </c>
      <c r="E20" s="72"/>
      <c r="F20" s="72"/>
      <c r="G20" s="72"/>
      <c r="H20" s="84">
        <f>'4.pielikums'!B20</f>
        <v>250642</v>
      </c>
    </row>
    <row r="21" spans="1:8" ht="15" customHeight="1">
      <c r="A21" s="86"/>
      <c r="B21" s="74" t="s">
        <v>204</v>
      </c>
      <c r="C21" s="88"/>
      <c r="D21" s="72">
        <f t="shared" si="2"/>
        <v>34578</v>
      </c>
      <c r="E21" s="72"/>
      <c r="F21" s="72"/>
      <c r="G21" s="72"/>
      <c r="H21" s="84">
        <f>'4.pielikums'!B21</f>
        <v>34578</v>
      </c>
    </row>
    <row r="22" spans="1:8" ht="15" customHeight="1">
      <c r="A22" s="86"/>
      <c r="B22" s="74" t="s">
        <v>197</v>
      </c>
      <c r="C22" s="88"/>
      <c r="D22" s="72">
        <f>H22-E22-G22-F22-C22</f>
        <v>298102.82608695648</v>
      </c>
      <c r="E22" s="72"/>
      <c r="F22" s="72"/>
      <c r="G22" s="72">
        <f>370452/1.15</f>
        <v>322132.17391304352</v>
      </c>
      <c r="H22" s="84">
        <f>'4.pielikums'!B22</f>
        <v>620235</v>
      </c>
    </row>
    <row r="23" spans="1:8" ht="15" customHeight="1">
      <c r="A23" s="86"/>
      <c r="B23" s="71" t="s">
        <v>3</v>
      </c>
      <c r="C23" s="87"/>
      <c r="D23" s="72">
        <f t="shared" si="2"/>
        <v>34564</v>
      </c>
      <c r="E23" s="72"/>
      <c r="F23" s="72"/>
      <c r="G23" s="72"/>
      <c r="H23" s="84">
        <f>'4.pielikums'!B23</f>
        <v>34564</v>
      </c>
    </row>
    <row r="24" spans="1:8" ht="15" customHeight="1">
      <c r="A24" s="86"/>
      <c r="B24" s="71" t="s">
        <v>91</v>
      </c>
      <c r="C24" s="87"/>
      <c r="D24" s="72">
        <f t="shared" si="2"/>
        <v>73892</v>
      </c>
      <c r="E24" s="72">
        <f>674+239</f>
        <v>913</v>
      </c>
      <c r="F24" s="72"/>
      <c r="G24" s="72"/>
      <c r="H24" s="84">
        <f>'4.pielikums'!B24</f>
        <v>74805</v>
      </c>
    </row>
    <row r="25" spans="1:8" ht="15" customHeight="1">
      <c r="A25" s="86"/>
      <c r="B25" s="71" t="s">
        <v>4</v>
      </c>
      <c r="C25" s="87"/>
      <c r="D25" s="72">
        <f t="shared" si="2"/>
        <v>34798</v>
      </c>
      <c r="E25" s="72"/>
      <c r="F25" s="72"/>
      <c r="G25" s="72"/>
      <c r="H25" s="84">
        <f>'4.pielikums'!B25</f>
        <v>34798</v>
      </c>
    </row>
    <row r="26" spans="1:8" ht="15" customHeight="1">
      <c r="A26" s="86"/>
      <c r="B26" s="71" t="s">
        <v>5</v>
      </c>
      <c r="C26" s="87"/>
      <c r="D26" s="72">
        <f t="shared" si="2"/>
        <v>47875</v>
      </c>
      <c r="E26" s="72">
        <f>340+1380</f>
        <v>1720</v>
      </c>
      <c r="F26" s="72"/>
      <c r="G26" s="72"/>
      <c r="H26" s="84">
        <f>'4.pielikums'!B26</f>
        <v>49595</v>
      </c>
    </row>
    <row r="27" spans="1:8" ht="15" customHeight="1">
      <c r="A27" s="86"/>
      <c r="B27" s="71" t="s">
        <v>6</v>
      </c>
      <c r="C27" s="87"/>
      <c r="D27" s="72">
        <f t="shared" si="2"/>
        <v>40318</v>
      </c>
      <c r="E27" s="72"/>
      <c r="F27" s="72"/>
      <c r="G27" s="72"/>
      <c r="H27" s="84">
        <f>'4.pielikums'!B27</f>
        <v>40318</v>
      </c>
    </row>
    <row r="28" spans="1:8" ht="15" customHeight="1">
      <c r="A28" s="86"/>
      <c r="B28" s="71" t="s">
        <v>7</v>
      </c>
      <c r="C28" s="87"/>
      <c r="D28" s="72">
        <f t="shared" si="2"/>
        <v>39911</v>
      </c>
      <c r="E28" s="72">
        <f>85</f>
        <v>85</v>
      </c>
      <c r="F28" s="72"/>
      <c r="G28" s="72"/>
      <c r="H28" s="84">
        <f>'4.pielikums'!B28</f>
        <v>39996</v>
      </c>
    </row>
    <row r="29" spans="1:8" ht="15" customHeight="1">
      <c r="A29" s="86"/>
      <c r="B29" s="71" t="s">
        <v>8</v>
      </c>
      <c r="C29" s="87"/>
      <c r="D29" s="72">
        <f t="shared" si="2"/>
        <v>43428</v>
      </c>
      <c r="E29" s="72">
        <f>12</f>
        <v>12</v>
      </c>
      <c r="F29" s="72"/>
      <c r="G29" s="72"/>
      <c r="H29" s="84">
        <f>'4.pielikums'!B29</f>
        <v>43440</v>
      </c>
    </row>
    <row r="30" spans="1:8" ht="15" customHeight="1">
      <c r="A30" s="86"/>
      <c r="B30" s="71" t="s">
        <v>92</v>
      </c>
      <c r="C30" s="87"/>
      <c r="D30" s="72">
        <f t="shared" si="2"/>
        <v>35296</v>
      </c>
      <c r="E30" s="72">
        <f>150</f>
        <v>150</v>
      </c>
      <c r="F30" s="72"/>
      <c r="G30" s="72"/>
      <c r="H30" s="84">
        <f>'4.pielikums'!B30</f>
        <v>35446</v>
      </c>
    </row>
    <row r="31" spans="1:8" ht="15" customHeight="1">
      <c r="A31" s="86"/>
      <c r="B31" s="71" t="s">
        <v>127</v>
      </c>
      <c r="C31" s="87"/>
      <c r="D31" s="72">
        <f t="shared" si="2"/>
        <v>36877</v>
      </c>
      <c r="E31" s="72"/>
      <c r="F31" s="72"/>
      <c r="G31" s="72"/>
      <c r="H31" s="84">
        <f>'4.pielikums'!B31</f>
        <v>36877</v>
      </c>
    </row>
    <row r="32" spans="1:8" ht="15" customHeight="1">
      <c r="A32" s="86"/>
      <c r="B32" s="71" t="s">
        <v>9</v>
      </c>
      <c r="C32" s="87"/>
      <c r="D32" s="72">
        <f t="shared" si="2"/>
        <v>23494</v>
      </c>
      <c r="E32" s="72"/>
      <c r="F32" s="72"/>
      <c r="G32" s="72"/>
      <c r="H32" s="84">
        <f>'4.pielikums'!B32</f>
        <v>23494</v>
      </c>
    </row>
    <row r="33" spans="1:8" ht="15" customHeight="1">
      <c r="A33" s="86"/>
      <c r="B33" s="74" t="s">
        <v>93</v>
      </c>
      <c r="C33" s="88"/>
      <c r="D33" s="72">
        <f t="shared" si="2"/>
        <v>44864</v>
      </c>
      <c r="E33" s="72"/>
      <c r="F33" s="72"/>
      <c r="G33" s="72"/>
      <c r="H33" s="84">
        <f>'4.pielikums'!B33</f>
        <v>44864</v>
      </c>
    </row>
    <row r="34" spans="1:8" ht="15" customHeight="1">
      <c r="A34" s="86"/>
      <c r="B34" s="74" t="s">
        <v>268</v>
      </c>
      <c r="C34" s="88"/>
      <c r="D34" s="72">
        <f t="shared" si="2"/>
        <v>48643</v>
      </c>
      <c r="E34" s="72">
        <f>1400</f>
        <v>1400</v>
      </c>
      <c r="F34" s="72"/>
      <c r="G34" s="72"/>
      <c r="H34" s="84">
        <f>'4.pielikums'!B35</f>
        <v>50043</v>
      </c>
    </row>
    <row r="35" spans="1:8" ht="15" customHeight="1">
      <c r="A35" s="86"/>
      <c r="B35" s="74" t="s">
        <v>94</v>
      </c>
      <c r="C35" s="88"/>
      <c r="D35" s="72">
        <f t="shared" si="2"/>
        <v>20658</v>
      </c>
      <c r="E35" s="72"/>
      <c r="F35" s="72"/>
      <c r="G35" s="72"/>
      <c r="H35" s="84">
        <f>'4.pielikums'!B36</f>
        <v>20658</v>
      </c>
    </row>
    <row r="36" spans="1:8" ht="15" customHeight="1">
      <c r="A36" s="86"/>
      <c r="B36" s="74" t="s">
        <v>95</v>
      </c>
      <c r="C36" s="88"/>
      <c r="D36" s="72">
        <f t="shared" si="2"/>
        <v>48906</v>
      </c>
      <c r="E36" s="72"/>
      <c r="F36" s="72"/>
      <c r="G36" s="72"/>
      <c r="H36" s="84">
        <f>'4.pielikums'!B37</f>
        <v>48906</v>
      </c>
    </row>
    <row r="37" spans="1:8" ht="15" customHeight="1">
      <c r="A37" s="86"/>
      <c r="B37" s="71" t="s">
        <v>10</v>
      </c>
      <c r="C37" s="87"/>
      <c r="D37" s="72">
        <f t="shared" si="2"/>
        <v>43553</v>
      </c>
      <c r="E37" s="72">
        <f>500</f>
        <v>500</v>
      </c>
      <c r="F37" s="72"/>
      <c r="G37" s="72"/>
      <c r="H37" s="84">
        <f>'4.pielikums'!B38</f>
        <v>44053</v>
      </c>
    </row>
    <row r="38" spans="1:8" ht="15" customHeight="1">
      <c r="A38" s="86"/>
      <c r="B38" s="71" t="s">
        <v>11</v>
      </c>
      <c r="C38" s="87"/>
      <c r="D38" s="72">
        <f t="shared" si="2"/>
        <v>34012</v>
      </c>
      <c r="E38" s="72"/>
      <c r="F38" s="72"/>
      <c r="G38" s="72"/>
      <c r="H38" s="84">
        <f>'4.pielikums'!B39</f>
        <v>34012</v>
      </c>
    </row>
    <row r="39" spans="1:8" ht="15" customHeight="1">
      <c r="A39" s="86"/>
      <c r="B39" s="71" t="s">
        <v>96</v>
      </c>
      <c r="C39" s="87"/>
      <c r="D39" s="72">
        <f t="shared" si="2"/>
        <v>34090</v>
      </c>
      <c r="E39" s="72">
        <f>1900+2578</f>
        <v>4478</v>
      </c>
      <c r="F39" s="72"/>
      <c r="G39" s="72"/>
      <c r="H39" s="84">
        <f>'4.pielikums'!B40</f>
        <v>38568</v>
      </c>
    </row>
    <row r="40" spans="1:8" ht="15" customHeight="1">
      <c r="A40" s="86"/>
      <c r="B40" s="71" t="s">
        <v>12</v>
      </c>
      <c r="C40" s="87"/>
      <c r="D40" s="72">
        <f t="shared" si="2"/>
        <v>39126</v>
      </c>
      <c r="E40" s="72">
        <f>67</f>
        <v>67</v>
      </c>
      <c r="F40" s="72"/>
      <c r="G40" s="72"/>
      <c r="H40" s="84">
        <f>'4.pielikums'!B42</f>
        <v>39193</v>
      </c>
    </row>
    <row r="41" spans="1:8" ht="15" customHeight="1">
      <c r="A41" s="86"/>
      <c r="B41" s="74" t="s">
        <v>89</v>
      </c>
      <c r="C41" s="88"/>
      <c r="D41" s="72">
        <f t="shared" si="2"/>
        <v>68633</v>
      </c>
      <c r="E41" s="72">
        <f>3693+2629+1639+756</f>
        <v>8717</v>
      </c>
      <c r="F41" s="72"/>
      <c r="G41" s="72"/>
      <c r="H41" s="84">
        <f>'4.pielikums'!B43</f>
        <v>77350</v>
      </c>
    </row>
    <row r="42" spans="1:8" ht="15" customHeight="1">
      <c r="A42" s="86"/>
      <c r="B42" s="74" t="s">
        <v>97</v>
      </c>
      <c r="C42" s="88"/>
      <c r="D42" s="72">
        <f t="shared" si="2"/>
        <v>37510</v>
      </c>
      <c r="E42" s="72"/>
      <c r="F42" s="72"/>
      <c r="G42" s="72"/>
      <c r="H42" s="84">
        <f>'4.pielikums'!B45</f>
        <v>37510</v>
      </c>
    </row>
    <row r="43" spans="1:8" ht="30" customHeight="1">
      <c r="A43" s="86"/>
      <c r="B43" s="89" t="s">
        <v>230</v>
      </c>
      <c r="C43" s="88"/>
      <c r="D43" s="72">
        <f>H43-E43-G43-F43-C43</f>
        <v>491</v>
      </c>
      <c r="E43" s="72"/>
      <c r="F43" s="72">
        <v>7207</v>
      </c>
      <c r="G43" s="72">
        <v>345459</v>
      </c>
      <c r="H43" s="84">
        <f>'4.pielikums'!B380</f>
        <v>353157</v>
      </c>
    </row>
    <row r="44" spans="1:8" ht="30" customHeight="1">
      <c r="A44" s="86"/>
      <c r="B44" s="74" t="s">
        <v>90</v>
      </c>
      <c r="C44" s="88"/>
      <c r="D44" s="72">
        <f t="shared" si="2"/>
        <v>54488</v>
      </c>
      <c r="E44" s="72">
        <f>4350+4300</f>
        <v>8650</v>
      </c>
      <c r="F44" s="72">
        <f>33980+26770</f>
        <v>60750</v>
      </c>
      <c r="G44" s="72"/>
      <c r="H44" s="84">
        <f>'4.pielikums'!B46</f>
        <v>123888</v>
      </c>
    </row>
    <row r="45" spans="1:8" ht="30" customHeight="1">
      <c r="A45" s="86"/>
      <c r="B45" s="74" t="s">
        <v>174</v>
      </c>
      <c r="C45" s="88"/>
      <c r="D45" s="72">
        <f t="shared" si="2"/>
        <v>441606</v>
      </c>
      <c r="E45" s="72"/>
      <c r="F45" s="72"/>
      <c r="G45" s="72"/>
      <c r="H45" s="84">
        <f>'4.pielikums'!B51</f>
        <v>441606</v>
      </c>
    </row>
    <row r="46" spans="1:8" ht="15" customHeight="1">
      <c r="A46" s="86"/>
      <c r="B46" s="74" t="s">
        <v>13</v>
      </c>
      <c r="C46" s="88"/>
      <c r="D46" s="72">
        <f t="shared" si="2"/>
        <v>2470</v>
      </c>
      <c r="E46" s="72"/>
      <c r="F46" s="72"/>
      <c r="G46" s="72"/>
      <c r="H46" s="84">
        <f>'4.pielikums'!B48</f>
        <v>2470</v>
      </c>
    </row>
    <row r="47" spans="1:8" ht="15" customHeight="1">
      <c r="A47" s="86"/>
      <c r="B47" s="71" t="s">
        <v>14</v>
      </c>
      <c r="C47" s="87"/>
      <c r="D47" s="72">
        <f t="shared" si="2"/>
        <v>45250</v>
      </c>
      <c r="E47" s="72"/>
      <c r="F47" s="72"/>
      <c r="G47" s="72"/>
      <c r="H47" s="84">
        <f>'4.pielikums'!B50</f>
        <v>45250</v>
      </c>
    </row>
    <row r="48" spans="1:8" ht="15" customHeight="1">
      <c r="A48" s="86"/>
      <c r="B48" s="71" t="s">
        <v>253</v>
      </c>
      <c r="C48" s="87"/>
      <c r="D48" s="72">
        <f t="shared" si="2"/>
        <v>0</v>
      </c>
      <c r="E48" s="72"/>
      <c r="F48" s="72"/>
      <c r="G48" s="72"/>
      <c r="H48" s="84">
        <f>'4.pielikums'!B52</f>
        <v>0</v>
      </c>
    </row>
    <row r="49" spans="1:8" ht="15" customHeight="1">
      <c r="A49" s="11" t="s">
        <v>269</v>
      </c>
      <c r="B49" s="75" t="s">
        <v>270</v>
      </c>
      <c r="C49" s="68">
        <f t="shared" si="3" ref="C49:H49">=SUM(C50:C52)</f>
        <v>0</v>
      </c>
      <c r="D49" s="68">
        <f t="shared" si="3"/>
        <v>287638</v>
      </c>
      <c r="E49" s="68">
        <f t="shared" si="3"/>
        <v>24340</v>
      </c>
      <c r="F49" s="68">
        <f t="shared" si="3"/>
        <v>3690</v>
      </c>
      <c r="G49" s="68">
        <f t="shared" si="3"/>
        <v>0</v>
      </c>
      <c r="H49" s="84">
        <f t="shared" si="3"/>
        <v>315668</v>
      </c>
    </row>
    <row r="50" spans="1:8" ht="15" customHeight="1">
      <c r="A50" s="90"/>
      <c r="B50" s="71" t="s">
        <v>15</v>
      </c>
      <c r="C50" s="87"/>
      <c r="D50" s="72">
        <f t="shared" si="2"/>
        <v>81365</v>
      </c>
      <c r="E50" s="72">
        <f>1400+1140+1200</f>
        <v>3740</v>
      </c>
      <c r="F50" s="72"/>
      <c r="G50" s="72"/>
      <c r="H50" s="84">
        <f>'4.pielikums'!B53</f>
        <v>85105</v>
      </c>
    </row>
    <row r="51" spans="1:8" ht="15" customHeight="1">
      <c r="A51" s="86"/>
      <c r="B51" s="71" t="s">
        <v>16</v>
      </c>
      <c r="C51" s="87"/>
      <c r="D51" s="72">
        <f t="shared" si="2"/>
        <v>171542</v>
      </c>
      <c r="E51" s="72">
        <f>2000+100</f>
        <v>2100</v>
      </c>
      <c r="F51" s="72"/>
      <c r="G51" s="72"/>
      <c r="H51" s="84">
        <f>'4.pielikums'!B54</f>
        <v>173642</v>
      </c>
    </row>
    <row r="52" spans="1:8" ht="15" customHeight="1">
      <c r="A52" s="86"/>
      <c r="B52" s="71" t="s">
        <v>54</v>
      </c>
      <c r="C52" s="87"/>
      <c r="D52" s="72">
        <f t="shared" si="2"/>
        <v>34731</v>
      </c>
      <c r="E52" s="72">
        <f>18500</f>
        <v>18500</v>
      </c>
      <c r="F52" s="72">
        <v>3690</v>
      </c>
      <c r="G52" s="72"/>
      <c r="H52" s="84">
        <f>'4.pielikums'!B55</f>
        <v>56921</v>
      </c>
    </row>
    <row r="53" spans="1:8" ht="15" customHeight="1">
      <c r="A53" s="11" t="s">
        <v>271</v>
      </c>
      <c r="B53" s="67" t="s">
        <v>272</v>
      </c>
      <c r="C53" s="91">
        <f t="shared" si="4" ref="C53:H53">=SUM(C54:C96)</f>
        <v>323002</v>
      </c>
      <c r="D53" s="91">
        <f t="shared" si="4"/>
        <v>653704.6086956521</v>
      </c>
      <c r="E53" s="91">
        <f t="shared" si="4"/>
        <v>25750</v>
      </c>
      <c r="F53" s="91">
        <f t="shared" si="4"/>
        <v>1468234</v>
      </c>
      <c r="G53" s="91">
        <f t="shared" si="4"/>
        <v>765020.3913043479</v>
      </c>
      <c r="H53" s="84">
        <f t="shared" si="4"/>
        <v>3323908</v>
      </c>
    </row>
    <row r="54" spans="1:8" ht="15" customHeight="1">
      <c r="A54" s="86"/>
      <c r="B54" s="74" t="s">
        <v>273</v>
      </c>
      <c r="C54" s="88">
        <v>3381</v>
      </c>
      <c r="D54" s="72">
        <f t="shared" si="2"/>
        <v>425</v>
      </c>
      <c r="E54" s="68"/>
      <c r="F54" s="72">
        <v>172800</v>
      </c>
      <c r="G54" s="68"/>
      <c r="H54" s="84">
        <f>'4.pielikums'!B88</f>
        <v>176606</v>
      </c>
    </row>
    <row r="55" spans="1:8" ht="15" customHeight="1">
      <c r="A55" s="90"/>
      <c r="B55" s="71" t="s">
        <v>274</v>
      </c>
      <c r="C55" s="87"/>
      <c r="D55" s="72">
        <f t="shared" si="2"/>
        <v>65147</v>
      </c>
      <c r="E55" s="72">
        <f>10000</f>
        <v>10000</v>
      </c>
      <c r="F55" s="72"/>
      <c r="G55" s="72"/>
      <c r="H55" s="84">
        <f>'4.pielikums'!B56</f>
        <v>75147</v>
      </c>
    </row>
    <row r="56" spans="1:8" ht="30" customHeight="1">
      <c r="A56" s="86"/>
      <c r="B56" s="74" t="s">
        <v>275</v>
      </c>
      <c r="C56" s="88"/>
      <c r="D56" s="72">
        <f t="shared" si="2"/>
        <v>106988</v>
      </c>
      <c r="E56" s="72">
        <f>4000+3500+1000</f>
        <v>8500</v>
      </c>
      <c r="F56" s="72">
        <f>68495</f>
        <v>68495</v>
      </c>
      <c r="G56" s="72"/>
      <c r="H56" s="84">
        <f>'4.pielikums'!B59</f>
        <v>183983</v>
      </c>
    </row>
    <row r="57" spans="1:10" ht="15" customHeight="1">
      <c r="A57" s="92"/>
      <c r="B57" s="76" t="s">
        <v>63</v>
      </c>
      <c r="C57" s="88"/>
      <c r="D57" s="72">
        <f>H57-E57-G57-F57-C57</f>
        <v>0</v>
      </c>
      <c r="E57" s="72"/>
      <c r="F57" s="72">
        <f>117893+11226</f>
        <v>129119</v>
      </c>
      <c r="G57" s="72"/>
      <c r="H57" s="84">
        <f>'4.pielikums'!B62</f>
        <v>129119</v>
      </c>
      <c r="J57" s="85"/>
    </row>
    <row r="58" spans="1:10" ht="30" customHeight="1">
      <c r="A58" s="92"/>
      <c r="B58" s="76" t="s">
        <v>213</v>
      </c>
      <c r="C58" s="88"/>
      <c r="D58" s="72">
        <f t="shared" si="2"/>
        <v>0</v>
      </c>
      <c r="E58" s="72"/>
      <c r="F58" s="72">
        <f>46305+4408</f>
        <v>50713</v>
      </c>
      <c r="G58" s="72"/>
      <c r="H58" s="84">
        <f>'4.pielikums'!B63</f>
        <v>50713</v>
      </c>
      <c r="J58" s="85"/>
    </row>
    <row r="59" spans="1:10" ht="30" customHeight="1">
      <c r="A59" s="92"/>
      <c r="B59" s="76" t="s">
        <v>64</v>
      </c>
      <c r="C59" s="88">
        <v>10778</v>
      </c>
      <c r="D59" s="72">
        <f t="shared" si="2"/>
        <v>0</v>
      </c>
      <c r="E59" s="72"/>
      <c r="F59" s="72">
        <f>23910+2277</f>
        <v>26187</v>
      </c>
      <c r="G59" s="72"/>
      <c r="H59" s="84">
        <f>'4.pielikums'!B64</f>
        <v>36965</v>
      </c>
      <c r="J59" s="85"/>
    </row>
    <row r="60" spans="1:8" ht="30" customHeight="1">
      <c r="A60" s="92"/>
      <c r="B60" s="76" t="s">
        <v>65</v>
      </c>
      <c r="C60" s="88"/>
      <c r="D60" s="72">
        <f t="shared" si="2"/>
        <v>4000</v>
      </c>
      <c r="E60" s="72"/>
      <c r="F60" s="72">
        <f>19249+1832</f>
        <v>21081</v>
      </c>
      <c r="G60" s="72"/>
      <c r="H60" s="84">
        <f>'4.pielikums'!B65</f>
        <v>25081</v>
      </c>
    </row>
    <row r="61" spans="1:8" ht="30" customHeight="1">
      <c r="A61" s="92"/>
      <c r="B61" s="76" t="s">
        <v>66</v>
      </c>
      <c r="C61" s="88">
        <v>14413</v>
      </c>
      <c r="D61" s="72">
        <f t="shared" si="2"/>
        <v>0</v>
      </c>
      <c r="E61" s="72"/>
      <c r="F61" s="72">
        <f>39620+3772</f>
        <v>43392</v>
      </c>
      <c r="G61" s="72"/>
      <c r="H61" s="84">
        <f>'4.pielikums'!B67</f>
        <v>57805</v>
      </c>
    </row>
    <row r="62" spans="1:8" ht="30" customHeight="1">
      <c r="A62" s="92"/>
      <c r="B62" s="76" t="s">
        <v>67</v>
      </c>
      <c r="C62" s="88">
        <v>10723</v>
      </c>
      <c r="D62" s="72">
        <f t="shared" si="2"/>
        <v>0</v>
      </c>
      <c r="E62" s="72"/>
      <c r="F62" s="72">
        <f>21659+2062</f>
        <v>23721</v>
      </c>
      <c r="G62" s="72"/>
      <c r="H62" s="84">
        <f>'4.pielikums'!B68</f>
        <v>34444</v>
      </c>
    </row>
    <row r="63" spans="1:8" ht="30" customHeight="1">
      <c r="A63" s="92"/>
      <c r="B63" s="76" t="s">
        <v>68</v>
      </c>
      <c r="C63" s="88">
        <v>14062</v>
      </c>
      <c r="D63" s="72">
        <f t="shared" si="2"/>
        <v>0</v>
      </c>
      <c r="E63" s="72"/>
      <c r="F63" s="72">
        <f>17112+1629</f>
        <v>18741</v>
      </c>
      <c r="G63" s="72"/>
      <c r="H63" s="84">
        <f>'4.pielikums'!B69</f>
        <v>32803</v>
      </c>
    </row>
    <row r="64" spans="1:8" ht="30" customHeight="1">
      <c r="A64" s="92"/>
      <c r="B64" s="76" t="s">
        <v>69</v>
      </c>
      <c r="C64" s="88"/>
      <c r="D64" s="72">
        <f t="shared" si="2"/>
        <v>64412</v>
      </c>
      <c r="E64" s="72"/>
      <c r="F64" s="72">
        <f>42118+4010</f>
        <v>46128</v>
      </c>
      <c r="G64" s="72"/>
      <c r="H64" s="84">
        <f>'4.pielikums'!B70</f>
        <v>110540</v>
      </c>
    </row>
    <row r="65" spans="1:8" ht="30" customHeight="1">
      <c r="A65" s="92"/>
      <c r="B65" s="76" t="s">
        <v>211</v>
      </c>
      <c r="C65" s="88">
        <v>3363</v>
      </c>
      <c r="D65" s="72">
        <f t="shared" si="2"/>
        <v>0</v>
      </c>
      <c r="E65" s="72"/>
      <c r="F65" s="72">
        <f>9815+934</f>
        <v>10749</v>
      </c>
      <c r="G65" s="72"/>
      <c r="H65" s="84">
        <f>'4.pielikums'!B72</f>
        <v>14112</v>
      </c>
    </row>
    <row r="66" spans="1:8" ht="30" customHeight="1">
      <c r="A66" s="92"/>
      <c r="B66" s="76" t="s">
        <v>70</v>
      </c>
      <c r="C66" s="88"/>
      <c r="D66" s="72">
        <f t="shared" si="2"/>
        <v>0</v>
      </c>
      <c r="E66" s="72"/>
      <c r="F66" s="72">
        <f>14853+1414</f>
        <v>16267</v>
      </c>
      <c r="G66" s="72"/>
      <c r="H66" s="84">
        <f>'4.pielikums'!B73</f>
        <v>16267</v>
      </c>
    </row>
    <row r="67" spans="1:8" ht="30" customHeight="1">
      <c r="A67" s="92"/>
      <c r="B67" s="76" t="s">
        <v>209</v>
      </c>
      <c r="C67" s="88">
        <v>21458</v>
      </c>
      <c r="D67" s="72">
        <f t="shared" si="2"/>
        <v>0</v>
      </c>
      <c r="E67" s="72"/>
      <c r="F67" s="72">
        <f>43712+4161</f>
        <v>47873</v>
      </c>
      <c r="G67" s="72"/>
      <c r="H67" s="84">
        <f>'4.pielikums'!B74</f>
        <v>69331</v>
      </c>
    </row>
    <row r="68" spans="1:8" ht="30" customHeight="1">
      <c r="A68" s="92"/>
      <c r="B68" s="76" t="s">
        <v>210</v>
      </c>
      <c r="C68" s="88"/>
      <c r="D68" s="72">
        <f t="shared" si="2"/>
        <v>0</v>
      </c>
      <c r="E68" s="72"/>
      <c r="F68" s="72">
        <f>31380+2987</f>
        <v>34367</v>
      </c>
      <c r="G68" s="72"/>
      <c r="H68" s="84">
        <f>'4.pielikums'!B75</f>
        <v>34367</v>
      </c>
    </row>
    <row r="69" spans="1:8" ht="30" customHeight="1">
      <c r="A69" s="92"/>
      <c r="B69" s="76" t="s">
        <v>212</v>
      </c>
      <c r="C69" s="88">
        <v>160973</v>
      </c>
      <c r="D69" s="72">
        <f t="shared" si="2"/>
        <v>0</v>
      </c>
      <c r="E69" s="72"/>
      <c r="F69" s="72">
        <f>63137+6011</f>
        <v>69148</v>
      </c>
      <c r="G69" s="72"/>
      <c r="H69" s="84">
        <f>'4.pielikums'!B76</f>
        <v>230121</v>
      </c>
    </row>
    <row r="70" spans="1:8" ht="30" customHeight="1">
      <c r="A70" s="92"/>
      <c r="B70" s="76" t="s">
        <v>214</v>
      </c>
      <c r="C70" s="88">
        <v>13693</v>
      </c>
      <c r="D70" s="72">
        <f t="shared" si="2"/>
        <v>0</v>
      </c>
      <c r="E70" s="72"/>
      <c r="F70" s="72">
        <f>27134+2583</f>
        <v>29717</v>
      </c>
      <c r="G70" s="72"/>
      <c r="H70" s="84">
        <f>'4.pielikums'!B77</f>
        <v>43410</v>
      </c>
    </row>
    <row r="71" spans="1:8" ht="30" customHeight="1">
      <c r="A71" s="92"/>
      <c r="B71" s="76" t="s">
        <v>215</v>
      </c>
      <c r="C71" s="88">
        <v>22705</v>
      </c>
      <c r="D71" s="72">
        <f t="shared" si="2"/>
        <v>0</v>
      </c>
      <c r="E71" s="72"/>
      <c r="F71" s="72">
        <f>46312+4410</f>
        <v>50722</v>
      </c>
      <c r="G71" s="72"/>
      <c r="H71" s="84">
        <f>'4.pielikums'!B78</f>
        <v>73427</v>
      </c>
    </row>
    <row r="72" spans="1:8" ht="30" customHeight="1">
      <c r="A72" s="92"/>
      <c r="B72" s="76" t="s">
        <v>71</v>
      </c>
      <c r="C72" s="88">
        <v>2834</v>
      </c>
      <c r="D72" s="72">
        <f t="shared" si="2"/>
        <v>0</v>
      </c>
      <c r="E72" s="72"/>
      <c r="F72" s="72">
        <f>35901+3417</f>
        <v>39318</v>
      </c>
      <c r="G72" s="72"/>
      <c r="H72" s="84">
        <f>'4.pielikums'!B79</f>
        <v>42152</v>
      </c>
    </row>
    <row r="73" spans="1:8" ht="30" customHeight="1">
      <c r="A73" s="92"/>
      <c r="B73" s="76" t="s">
        <v>72</v>
      </c>
      <c r="C73" s="88">
        <v>8787</v>
      </c>
      <c r="D73" s="72">
        <f t="shared" si="2"/>
        <v>0</v>
      </c>
      <c r="E73" s="72"/>
      <c r="F73" s="72">
        <f>11894+1133</f>
        <v>13027</v>
      </c>
      <c r="G73" s="72"/>
      <c r="H73" s="84">
        <f>'4.pielikums'!B80</f>
        <v>21814</v>
      </c>
    </row>
    <row r="74" spans="1:8" ht="30" customHeight="1">
      <c r="A74" s="92"/>
      <c r="B74" s="76" t="s">
        <v>218</v>
      </c>
      <c r="C74" s="88">
        <v>7130</v>
      </c>
      <c r="D74" s="72">
        <f t="shared" si="2"/>
        <v>0</v>
      </c>
      <c r="E74" s="72"/>
      <c r="F74" s="72">
        <f>21413+2039</f>
        <v>23452</v>
      </c>
      <c r="G74" s="72"/>
      <c r="H74" s="84">
        <f>'4.pielikums'!B81</f>
        <v>30582</v>
      </c>
    </row>
    <row r="75" spans="1:8" ht="30" customHeight="1">
      <c r="A75" s="92"/>
      <c r="B75" s="76" t="s">
        <v>73</v>
      </c>
      <c r="C75" s="88">
        <v>4412</v>
      </c>
      <c r="D75" s="72">
        <f t="shared" si="2"/>
        <v>0</v>
      </c>
      <c r="E75" s="72"/>
      <c r="F75" s="72">
        <f>21303+2028</f>
        <v>23331</v>
      </c>
      <c r="G75" s="72"/>
      <c r="H75" s="84">
        <f>'4.pielikums'!B82</f>
        <v>27743</v>
      </c>
    </row>
    <row r="76" spans="1:8" ht="30" customHeight="1">
      <c r="A76" s="92"/>
      <c r="B76" s="76" t="s">
        <v>216</v>
      </c>
      <c r="C76" s="88">
        <v>484</v>
      </c>
      <c r="D76" s="72">
        <f t="shared" si="2"/>
        <v>0</v>
      </c>
      <c r="E76" s="72"/>
      <c r="F76" s="72">
        <f>8414+801</f>
        <v>9215</v>
      </c>
      <c r="G76" s="72"/>
      <c r="H76" s="84">
        <f>'4.pielikums'!B83</f>
        <v>9699</v>
      </c>
    </row>
    <row r="77" spans="1:8" ht="30" customHeight="1">
      <c r="A77" s="92"/>
      <c r="B77" s="76" t="s">
        <v>217</v>
      </c>
      <c r="C77" s="88">
        <v>12249</v>
      </c>
      <c r="D77" s="72">
        <f t="shared" si="2"/>
        <v>0</v>
      </c>
      <c r="E77" s="72"/>
      <c r="F77" s="72">
        <f>26222+2496</f>
        <v>28718</v>
      </c>
      <c r="G77" s="72"/>
      <c r="H77" s="84">
        <f>'4.pielikums'!B84</f>
        <v>40967</v>
      </c>
    </row>
    <row r="78" spans="1:10" ht="30" customHeight="1">
      <c r="A78" s="92"/>
      <c r="B78" s="93" t="s">
        <v>600</v>
      </c>
      <c r="C78" s="88"/>
      <c r="D78" s="72">
        <f>H78-E78-G78-F78-C78</f>
        <v>-68412</v>
      </c>
      <c r="E78" s="72"/>
      <c r="F78" s="72">
        <f>172339+16407</f>
        <v>188746</v>
      </c>
      <c r="G78" s="72"/>
      <c r="H78" s="84">
        <f>'4.pielikums'!B85</f>
        <v>120334</v>
      </c>
      <c r="J78" s="85"/>
    </row>
    <row r="79" spans="1:8" ht="15" customHeight="1">
      <c r="A79" s="92"/>
      <c r="B79" s="93" t="s">
        <v>622</v>
      </c>
      <c r="C79" s="88"/>
      <c r="D79" s="72">
        <f>H79-E79-G79-F79-C79</f>
        <v>33566.608695652161</v>
      </c>
      <c r="E79" s="72"/>
      <c r="F79" s="72"/>
      <c r="G79" s="72">
        <f>257344/1.15</f>
        <v>223777.39130434784</v>
      </c>
      <c r="H79" s="84">
        <f>'4.pielikums'!B368</f>
        <v>257344</v>
      </c>
    </row>
    <row r="80" spans="1:8" ht="15" customHeight="1">
      <c r="A80" s="86"/>
      <c r="B80" s="94" t="s">
        <v>598</v>
      </c>
      <c r="C80" s="88"/>
      <c r="D80" s="72">
        <f>H80-E80-G80-F80-C80</f>
        <v>138837</v>
      </c>
      <c r="E80" s="72"/>
      <c r="F80" s="72"/>
      <c r="G80" s="72"/>
      <c r="H80" s="84">
        <f>'4.pielikums'!B367</f>
        <v>138837</v>
      </c>
    </row>
    <row r="81" spans="1:8" ht="15" customHeight="1">
      <c r="A81" s="92"/>
      <c r="B81" s="89" t="s">
        <v>130</v>
      </c>
      <c r="C81" s="88"/>
      <c r="D81" s="72">
        <f t="shared" si="2"/>
        <v>16110</v>
      </c>
      <c r="E81" s="72">
        <f>250+5500</f>
        <v>5750</v>
      </c>
      <c r="F81" s="72"/>
      <c r="G81" s="72"/>
      <c r="H81" s="84">
        <f>'4.pielikums'!B89</f>
        <v>21860</v>
      </c>
    </row>
    <row r="82" spans="1:8" ht="30" customHeight="1">
      <c r="A82" s="86"/>
      <c r="B82" s="74" t="s">
        <v>58</v>
      </c>
      <c r="C82" s="88"/>
      <c r="D82" s="72">
        <f t="shared" si="2"/>
        <v>3244</v>
      </c>
      <c r="E82" s="72"/>
      <c r="F82" s="72"/>
      <c r="G82" s="72"/>
      <c r="H82" s="84">
        <f>'4.pielikums'!B58</f>
        <v>3244</v>
      </c>
    </row>
    <row r="83" spans="1:8" ht="15" customHeight="1">
      <c r="A83" s="86"/>
      <c r="B83" s="74" t="s">
        <v>18</v>
      </c>
      <c r="C83" s="88"/>
      <c r="D83" s="72">
        <f t="shared" si="5" ref="D83:D117">=H83-E83-G83-F83-C83</f>
        <v>96522</v>
      </c>
      <c r="E83" s="72"/>
      <c r="F83" s="72"/>
      <c r="G83" s="72"/>
      <c r="H83" s="84">
        <f>'4.pielikums'!B57</f>
        <v>96522</v>
      </c>
    </row>
    <row r="84" spans="1:8" ht="15" customHeight="1">
      <c r="A84" s="86"/>
      <c r="B84" s="74" t="s">
        <v>276</v>
      </c>
      <c r="C84" s="88"/>
      <c r="D84" s="72">
        <f t="shared" si="5"/>
        <v>50000</v>
      </c>
      <c r="E84" s="72"/>
      <c r="F84" s="72"/>
      <c r="G84" s="72"/>
      <c r="H84" s="84">
        <f>'4.pielikums'!B61</f>
        <v>50000</v>
      </c>
    </row>
    <row r="85" spans="1:8" ht="30" customHeight="1">
      <c r="A85" s="86"/>
      <c r="B85" s="89" t="s">
        <v>565</v>
      </c>
      <c r="C85" s="88"/>
      <c r="D85" s="72">
        <f t="shared" si="5"/>
        <v>20812</v>
      </c>
      <c r="E85" s="72"/>
      <c r="F85" s="72"/>
      <c r="G85" s="72"/>
      <c r="H85" s="84">
        <f>'4.pielikums'!B365</f>
        <v>20812</v>
      </c>
    </row>
    <row r="86" spans="1:8" ht="30" customHeight="1">
      <c r="A86" s="86"/>
      <c r="B86" s="74" t="s">
        <v>166</v>
      </c>
      <c r="C86" s="88"/>
      <c r="D86" s="72">
        <f t="shared" si="5"/>
        <v>63254</v>
      </c>
      <c r="E86" s="72"/>
      <c r="F86" s="72"/>
      <c r="G86" s="72">
        <v>541243</v>
      </c>
      <c r="H86" s="84">
        <f>'4.pielikums'!B370</f>
        <v>604497</v>
      </c>
    </row>
    <row r="87" spans="1:8" ht="30" customHeight="1">
      <c r="A87" s="86"/>
      <c r="B87" s="74" t="s">
        <v>80</v>
      </c>
      <c r="C87" s="88">
        <v>3057</v>
      </c>
      <c r="D87" s="72">
        <f t="shared" si="5"/>
        <v>0</v>
      </c>
      <c r="E87" s="72"/>
      <c r="F87" s="72"/>
      <c r="G87" s="72"/>
      <c r="H87" s="84">
        <f>'4.pielikums'!B90</f>
        <v>3057</v>
      </c>
    </row>
    <row r="88" spans="1:8" ht="45" customHeight="1">
      <c r="A88" s="86"/>
      <c r="B88" s="74" t="s">
        <v>602</v>
      </c>
      <c r="C88" s="88">
        <v>8500</v>
      </c>
      <c r="D88" s="72">
        <f t="shared" si="5"/>
        <v>11910</v>
      </c>
      <c r="E88" s="72">
        <f>1500</f>
        <v>1500</v>
      </c>
      <c r="F88" s="72"/>
      <c r="G88" s="72"/>
      <c r="H88" s="84">
        <f>'4.pielikums'!B91</f>
        <v>21910</v>
      </c>
    </row>
    <row r="89" spans="1:8" ht="32.1" customHeight="1">
      <c r="A89" s="95"/>
      <c r="B89" s="96" t="s">
        <v>245</v>
      </c>
      <c r="C89" s="88"/>
      <c r="D89" s="72">
        <f t="shared" si="5"/>
        <v>23310</v>
      </c>
      <c r="E89" s="72"/>
      <c r="F89" s="72">
        <v>111000</v>
      </c>
      <c r="G89" s="72"/>
      <c r="H89" s="84">
        <f>'4.pielikums'!B92</f>
        <v>134310</v>
      </c>
    </row>
    <row r="90" spans="1:8" ht="32.1" customHeight="1">
      <c r="A90" s="95"/>
      <c r="B90" s="89" t="s">
        <v>650</v>
      </c>
      <c r="C90" s="88"/>
      <c r="D90" s="72">
        <f t="shared" si="5"/>
        <v>8000</v>
      </c>
      <c r="E90" s="72"/>
      <c r="F90" s="72">
        <v>72000</v>
      </c>
      <c r="G90" s="72"/>
      <c r="H90" s="84">
        <f>'4.pielikums'!B93</f>
        <v>80000</v>
      </c>
    </row>
    <row r="91" spans="1:8" ht="32.1" customHeight="1">
      <c r="A91" s="95"/>
      <c r="B91" s="89" t="s">
        <v>651</v>
      </c>
      <c r="C91" s="88"/>
      <c r="D91" s="72">
        <f t="shared" si="5"/>
        <v>4000</v>
      </c>
      <c r="E91" s="72"/>
      <c r="F91" s="72">
        <v>36000</v>
      </c>
      <c r="G91" s="72"/>
      <c r="H91" s="84">
        <f>'4.pielikums'!B94</f>
        <v>40000</v>
      </c>
    </row>
    <row r="92" spans="1:11" ht="45" customHeight="1">
      <c r="A92" s="95"/>
      <c r="B92" s="89" t="s">
        <v>652</v>
      </c>
      <c r="C92" s="88"/>
      <c r="D92" s="72">
        <f t="shared" si="5"/>
        <v>2000</v>
      </c>
      <c r="E92" s="72"/>
      <c r="F92" s="72">
        <v>18000</v>
      </c>
      <c r="G92" s="72"/>
      <c r="H92" s="84">
        <f>'4.pielikums'!B95</f>
        <v>20000</v>
      </c>
      <c r="K92" s="85"/>
    </row>
    <row r="93" spans="1:8" ht="30" customHeight="1">
      <c r="A93" s="95"/>
      <c r="B93" s="89" t="s">
        <v>656</v>
      </c>
      <c r="C93" s="88"/>
      <c r="D93" s="72">
        <f t="shared" si="5"/>
        <v>3579</v>
      </c>
      <c r="E93" s="72"/>
      <c r="F93" s="72">
        <v>32207</v>
      </c>
      <c r="G93" s="72"/>
      <c r="H93" s="84">
        <f>'4.pielikums'!B97</f>
        <v>35786</v>
      </c>
    </row>
    <row r="94" spans="1:8" ht="45" customHeight="1">
      <c r="A94" s="95"/>
      <c r="B94" s="89" t="s">
        <v>654</v>
      </c>
      <c r="C94" s="88"/>
      <c r="D94" s="72">
        <f t="shared" si="5"/>
        <v>6000</v>
      </c>
      <c r="E94" s="72"/>
      <c r="F94" s="72">
        <v>9000</v>
      </c>
      <c r="G94" s="72"/>
      <c r="H94" s="84">
        <f>'4.pielikums'!B98</f>
        <v>15000</v>
      </c>
    </row>
    <row r="95" spans="1:8" ht="33.75" customHeight="1">
      <c r="A95" s="95"/>
      <c r="B95" s="89" t="s">
        <v>669</v>
      </c>
      <c r="C95" s="88"/>
      <c r="D95" s="72"/>
      <c r="E95" s="72"/>
      <c r="F95" s="72"/>
      <c r="G95" s="72"/>
      <c r="H95" s="84">
        <f>'4.pielikums'!B87</f>
        <v>88197</v>
      </c>
    </row>
    <row r="96" spans="1:8" ht="15" customHeight="1">
      <c r="A96" s="95"/>
      <c r="B96" s="74" t="s">
        <v>568</v>
      </c>
      <c r="C96" s="88"/>
      <c r="D96" s="72">
        <f>H96-E96-G96-F96-C96</f>
        <v>0</v>
      </c>
      <c r="E96" s="72"/>
      <c r="F96" s="72">
        <v>5000</v>
      </c>
      <c r="G96" s="72"/>
      <c r="H96" s="84">
        <f>'4.pielikums'!B377</f>
        <v>5000</v>
      </c>
    </row>
    <row r="97" spans="1:8" ht="15" customHeight="1">
      <c r="A97" s="11" t="s">
        <v>277</v>
      </c>
      <c r="B97" s="75" t="s">
        <v>278</v>
      </c>
      <c r="C97" s="68">
        <f t="shared" si="6" ref="C97:G97">=SUM(C98:C117)</f>
        <v>0</v>
      </c>
      <c r="D97" s="68">
        <f>SUM(D98:D118)</f>
        <v>89705</v>
      </c>
      <c r="E97" s="68">
        <f>SUM(E98:E118)</f>
        <v>128303</v>
      </c>
      <c r="F97" s="68">
        <f t="shared" si="6"/>
        <v>0</v>
      </c>
      <c r="G97" s="68">
        <f t="shared" si="6"/>
        <v>0</v>
      </c>
      <c r="H97" s="84">
        <f>SUM(H98:H118)</f>
        <v>278308</v>
      </c>
    </row>
    <row r="98" spans="1:8" ht="30" customHeight="1">
      <c r="A98" s="86"/>
      <c r="B98" s="74" t="s">
        <v>74</v>
      </c>
      <c r="C98" s="88"/>
      <c r="D98" s="72">
        <f t="shared" si="5"/>
        <v>48012</v>
      </c>
      <c r="E98" s="72">
        <v>37000</v>
      </c>
      <c r="F98" s="72"/>
      <c r="G98" s="72"/>
      <c r="H98" s="84">
        <f>'4.pielikums'!B99</f>
        <v>85012</v>
      </c>
    </row>
    <row r="99" spans="1:8" ht="30" customHeight="1">
      <c r="A99" s="86"/>
      <c r="B99" s="97" t="s">
        <v>329</v>
      </c>
      <c r="C99" s="88"/>
      <c r="D99" s="72">
        <f t="shared" si="5"/>
        <v>7740</v>
      </c>
      <c r="E99" s="72">
        <v>2860</v>
      </c>
      <c r="F99" s="72"/>
      <c r="G99" s="72"/>
      <c r="H99" s="84">
        <f>'4.pielikums'!B100</f>
        <v>10600</v>
      </c>
    </row>
    <row r="100" spans="1:8" ht="30" customHeight="1">
      <c r="A100" s="86"/>
      <c r="B100" s="97" t="s">
        <v>592</v>
      </c>
      <c r="C100" s="88"/>
      <c r="D100" s="72">
        <f t="shared" si="5"/>
        <v>625</v>
      </c>
      <c r="E100" s="72">
        <v>6000</v>
      </c>
      <c r="F100" s="72"/>
      <c r="G100" s="72"/>
      <c r="H100" s="84">
        <f>'4.pielikums'!B101</f>
        <v>6625</v>
      </c>
    </row>
    <row r="101" spans="1:8" ht="30" customHeight="1">
      <c r="A101" s="86"/>
      <c r="B101" s="89" t="s">
        <v>248</v>
      </c>
      <c r="C101" s="88"/>
      <c r="D101" s="72">
        <f t="shared" si="5"/>
        <v>159</v>
      </c>
      <c r="E101" s="72">
        <f>5200</f>
        <v>5200</v>
      </c>
      <c r="F101" s="72"/>
      <c r="G101" s="72"/>
      <c r="H101" s="84">
        <f>'4.pielikums'!B102</f>
        <v>5359</v>
      </c>
    </row>
    <row r="102" spans="1:8" ht="30" customHeight="1">
      <c r="A102" s="86"/>
      <c r="B102" s="97" t="s">
        <v>593</v>
      </c>
      <c r="C102" s="88"/>
      <c r="D102" s="72">
        <f t="shared" si="5"/>
        <v>3239</v>
      </c>
      <c r="E102" s="72">
        <v>2300</v>
      </c>
      <c r="F102" s="72"/>
      <c r="G102" s="72"/>
      <c r="H102" s="84">
        <f>'4.pielikums'!B103</f>
        <v>5539</v>
      </c>
    </row>
    <row r="103" spans="1:8" ht="30" customHeight="1">
      <c r="A103" s="86"/>
      <c r="B103" s="89" t="s">
        <v>234</v>
      </c>
      <c r="C103" s="88"/>
      <c r="D103" s="72">
        <f t="shared" si="5"/>
        <v>1997</v>
      </c>
      <c r="E103" s="72">
        <f>2045</f>
        <v>2045</v>
      </c>
      <c r="F103" s="72"/>
      <c r="G103" s="72"/>
      <c r="H103" s="84">
        <f>'4.pielikums'!B104</f>
        <v>4042</v>
      </c>
    </row>
    <row r="104" spans="1:8" ht="30" customHeight="1">
      <c r="A104" s="86"/>
      <c r="B104" s="89" t="s">
        <v>237</v>
      </c>
      <c r="C104" s="88"/>
      <c r="D104" s="72">
        <f t="shared" si="5"/>
        <v>0</v>
      </c>
      <c r="E104" s="72">
        <v>6752</v>
      </c>
      <c r="F104" s="72"/>
      <c r="G104" s="72"/>
      <c r="H104" s="84">
        <f>'4.pielikums'!B105</f>
        <v>6752</v>
      </c>
    </row>
    <row r="105" spans="1:8" ht="30" customHeight="1">
      <c r="A105" s="86"/>
      <c r="B105" s="89" t="s">
        <v>135</v>
      </c>
      <c r="C105" s="88"/>
      <c r="D105" s="72">
        <f t="shared" si="5"/>
        <v>0</v>
      </c>
      <c r="E105" s="72">
        <v>4700</v>
      </c>
      <c r="F105" s="72"/>
      <c r="G105" s="72"/>
      <c r="H105" s="84">
        <f>'4.pielikums'!B106</f>
        <v>4700</v>
      </c>
    </row>
    <row r="106" spans="1:8" ht="30" customHeight="1">
      <c r="A106" s="86"/>
      <c r="B106" s="76" t="s">
        <v>330</v>
      </c>
      <c r="C106" s="88"/>
      <c r="D106" s="72">
        <f t="shared" si="5"/>
        <v>3179</v>
      </c>
      <c r="E106" s="72">
        <f>6765</f>
        <v>6765</v>
      </c>
      <c r="F106" s="72"/>
      <c r="G106" s="72"/>
      <c r="H106" s="84">
        <f>'4.pielikums'!B107</f>
        <v>9944</v>
      </c>
    </row>
    <row r="107" spans="1:8" ht="30" customHeight="1">
      <c r="A107" s="86"/>
      <c r="B107" s="76" t="s">
        <v>594</v>
      </c>
      <c r="C107" s="88"/>
      <c r="D107" s="72">
        <f t="shared" si="5"/>
        <v>50</v>
      </c>
      <c r="E107" s="72">
        <v>500</v>
      </c>
      <c r="F107" s="72"/>
      <c r="G107" s="72"/>
      <c r="H107" s="84">
        <f>'4.pielikums'!B108</f>
        <v>550</v>
      </c>
    </row>
    <row r="108" spans="1:8" ht="30" customHeight="1">
      <c r="A108" s="86"/>
      <c r="B108" s="89" t="s">
        <v>132</v>
      </c>
      <c r="C108" s="88"/>
      <c r="D108" s="72">
        <f t="shared" si="5"/>
        <v>5113</v>
      </c>
      <c r="E108" s="72">
        <f>4993</f>
        <v>4993</v>
      </c>
      <c r="F108" s="72"/>
      <c r="G108" s="72"/>
      <c r="H108" s="84">
        <f>'4.pielikums'!B109</f>
        <v>10106</v>
      </c>
    </row>
    <row r="109" spans="1:8" ht="30" customHeight="1">
      <c r="A109" s="86"/>
      <c r="B109" s="89" t="s">
        <v>134</v>
      </c>
      <c r="C109" s="88"/>
      <c r="D109" s="72">
        <f t="shared" si="5"/>
        <v>763</v>
      </c>
      <c r="E109" s="72">
        <f>350+400</f>
        <v>750</v>
      </c>
      <c r="F109" s="72"/>
      <c r="G109" s="72"/>
      <c r="H109" s="84">
        <f>'4.pielikums'!B110</f>
        <v>1513</v>
      </c>
    </row>
    <row r="110" spans="1:8" ht="30" customHeight="1">
      <c r="A110" s="86"/>
      <c r="B110" s="76" t="s">
        <v>328</v>
      </c>
      <c r="C110" s="88"/>
      <c r="D110" s="72">
        <f t="shared" si="5"/>
        <v>1580</v>
      </c>
      <c r="E110" s="72">
        <f>7884</f>
        <v>7884</v>
      </c>
      <c r="F110" s="72"/>
      <c r="G110" s="72"/>
      <c r="H110" s="84">
        <f>'4.pielikums'!B111</f>
        <v>9464</v>
      </c>
    </row>
    <row r="111" spans="1:8" ht="30" customHeight="1">
      <c r="A111" s="86"/>
      <c r="B111" s="89" t="s">
        <v>250</v>
      </c>
      <c r="C111" s="88"/>
      <c r="D111" s="72">
        <f t="shared" si="5"/>
        <v>7230</v>
      </c>
      <c r="E111" s="72">
        <f>3000</f>
        <v>3000</v>
      </c>
      <c r="F111" s="72"/>
      <c r="G111" s="72"/>
      <c r="H111" s="84">
        <f>'4.pielikums'!B112</f>
        <v>10230</v>
      </c>
    </row>
    <row r="112" spans="1:8" ht="30" customHeight="1">
      <c r="A112" s="86"/>
      <c r="B112" s="89" t="s">
        <v>133</v>
      </c>
      <c r="C112" s="88"/>
      <c r="D112" s="72">
        <f t="shared" si="5"/>
        <v>421</v>
      </c>
      <c r="E112" s="72">
        <f>309</f>
        <v>309</v>
      </c>
      <c r="F112" s="72"/>
      <c r="G112" s="72"/>
      <c r="H112" s="84">
        <f>'4.pielikums'!B113</f>
        <v>730</v>
      </c>
    </row>
    <row r="113" spans="1:8" ht="30" customHeight="1">
      <c r="A113" s="86"/>
      <c r="B113" s="89" t="s">
        <v>136</v>
      </c>
      <c r="C113" s="88"/>
      <c r="D113" s="72">
        <f t="shared" si="5"/>
        <v>1708</v>
      </c>
      <c r="E113" s="72">
        <f>1800</f>
        <v>1800</v>
      </c>
      <c r="F113" s="72"/>
      <c r="G113" s="72"/>
      <c r="H113" s="84">
        <f>'4.pielikums'!B114</f>
        <v>3508</v>
      </c>
    </row>
    <row r="114" spans="1:8" ht="30" customHeight="1">
      <c r="A114" s="86"/>
      <c r="B114" s="89" t="s">
        <v>635</v>
      </c>
      <c r="C114" s="88"/>
      <c r="D114" s="72">
        <f t="shared" si="5"/>
        <v>719</v>
      </c>
      <c r="E114" s="72">
        <f>17550</f>
        <v>17550</v>
      </c>
      <c r="F114" s="72"/>
      <c r="G114" s="72"/>
      <c r="H114" s="84">
        <f>'4.pielikums'!B115</f>
        <v>18269</v>
      </c>
    </row>
    <row r="115" spans="1:8" ht="30" customHeight="1">
      <c r="A115" s="86"/>
      <c r="B115" s="89" t="s">
        <v>636</v>
      </c>
      <c r="C115" s="88"/>
      <c r="D115" s="72">
        <f t="shared" si="5"/>
        <v>470</v>
      </c>
      <c r="E115" s="72">
        <v>6400</v>
      </c>
      <c r="F115" s="72"/>
      <c r="G115" s="72"/>
      <c r="H115" s="84">
        <f>'4.pielikums'!B116</f>
        <v>6870</v>
      </c>
    </row>
    <row r="116" spans="1:8" ht="30" customHeight="1">
      <c r="A116" s="86"/>
      <c r="B116" s="89" t="s">
        <v>137</v>
      </c>
      <c r="C116" s="88"/>
      <c r="D116" s="72">
        <f t="shared" si="5"/>
        <v>0</v>
      </c>
      <c r="E116" s="72">
        <v>7985</v>
      </c>
      <c r="F116" s="72"/>
      <c r="G116" s="72"/>
      <c r="H116" s="84">
        <f>'4.pielikums'!B117</f>
        <v>7985</v>
      </c>
    </row>
    <row r="117" spans="1:8" ht="30" customHeight="1">
      <c r="A117" s="86"/>
      <c r="B117" s="89" t="s">
        <v>131</v>
      </c>
      <c r="C117" s="88"/>
      <c r="D117" s="72">
        <f t="shared" si="5"/>
        <v>0</v>
      </c>
      <c r="E117" s="72">
        <f>3510</f>
        <v>3510</v>
      </c>
      <c r="F117" s="72"/>
      <c r="G117" s="72"/>
      <c r="H117" s="84">
        <f>'4.pielikums'!B118</f>
        <v>3510</v>
      </c>
    </row>
    <row r="118" spans="1:8" ht="32.1" customHeight="1">
      <c r="A118" s="95"/>
      <c r="B118" s="89" t="s">
        <v>653</v>
      </c>
      <c r="C118" s="88"/>
      <c r="D118" s="72">
        <f>H118-E118-G118-F118-C118</f>
        <v>6700</v>
      </c>
      <c r="E118" s="72"/>
      <c r="F118" s="72">
        <v>60300</v>
      </c>
      <c r="G118" s="72"/>
      <c r="H118" s="84">
        <f>'4.pielikums'!B96</f>
        <v>67000</v>
      </c>
    </row>
    <row r="119" spans="1:8" ht="30" customHeight="1">
      <c r="A119" s="98" t="s">
        <v>279</v>
      </c>
      <c r="B119" s="75" t="s">
        <v>280</v>
      </c>
      <c r="C119" s="68">
        <f t="shared" si="7" ref="C119:H119">=C120+C124</f>
        <v>0</v>
      </c>
      <c r="D119" s="68">
        <f t="shared" si="7"/>
        <v>2276111</v>
      </c>
      <c r="E119" s="68">
        <f t="shared" si="7"/>
        <v>1942430</v>
      </c>
      <c r="F119" s="68">
        <f t="shared" si="7"/>
        <v>87623</v>
      </c>
      <c r="G119" s="68">
        <f t="shared" si="7"/>
        <v>0</v>
      </c>
      <c r="H119" s="84">
        <f t="shared" si="7"/>
        <v>4306164</v>
      </c>
    </row>
    <row r="120" spans="1:8" ht="15" customHeight="1">
      <c r="A120" s="90"/>
      <c r="B120" s="67" t="s">
        <v>281</v>
      </c>
      <c r="C120" s="68">
        <f>SUM(C121:C123)</f>
        <v>0</v>
      </c>
      <c r="D120" s="68">
        <f>SUM(D121:D123)</f>
        <v>146731</v>
      </c>
      <c r="E120" s="68">
        <f t="shared" si="8" ref="E120:G120">=SUM(E121:E123)</f>
        <v>1060</v>
      </c>
      <c r="F120" s="68">
        <f t="shared" si="8"/>
        <v>0</v>
      </c>
      <c r="G120" s="68">
        <f t="shared" si="8"/>
        <v>0</v>
      </c>
      <c r="H120" s="84">
        <f>SUM(H121:H123)</f>
        <v>147791</v>
      </c>
    </row>
    <row r="121" spans="1:8" ht="15" customHeight="1">
      <c r="A121" s="11"/>
      <c r="B121" s="71" t="s">
        <v>19</v>
      </c>
      <c r="C121" s="87"/>
      <c r="D121" s="72">
        <f t="shared" si="9" ref="D121:D189">=H121-E121-G121-F121-C121</f>
        <v>138101</v>
      </c>
      <c r="E121" s="72"/>
      <c r="F121" s="72"/>
      <c r="G121" s="72"/>
      <c r="H121" s="84">
        <f>'4.pielikums'!B119</f>
        <v>138101</v>
      </c>
    </row>
    <row r="122" spans="1:8" ht="30" customHeight="1">
      <c r="A122" s="86"/>
      <c r="B122" s="94" t="s">
        <v>176</v>
      </c>
      <c r="C122" s="88"/>
      <c r="D122" s="72">
        <f t="shared" si="9"/>
        <v>5541</v>
      </c>
      <c r="E122" s="72">
        <v>1060</v>
      </c>
      <c r="F122" s="72"/>
      <c r="G122" s="72"/>
      <c r="H122" s="84">
        <f>'4.pielikums'!B120</f>
        <v>6601</v>
      </c>
    </row>
    <row r="123" spans="1:8" ht="30" customHeight="1">
      <c r="A123" s="86"/>
      <c r="B123" s="94" t="s">
        <v>175</v>
      </c>
      <c r="C123" s="88"/>
      <c r="D123" s="72">
        <f t="shared" si="9"/>
        <v>3089</v>
      </c>
      <c r="E123" s="72"/>
      <c r="F123" s="72"/>
      <c r="G123" s="72"/>
      <c r="H123" s="84">
        <f>'4.pielikums'!B122</f>
        <v>3089</v>
      </c>
    </row>
    <row r="124" spans="1:8" ht="47.25">
      <c r="A124" s="86"/>
      <c r="B124" s="75" t="s">
        <v>282</v>
      </c>
      <c r="C124" s="68">
        <f t="shared" si="10" ref="C124:H124">=SUM(C125:C186)</f>
        <v>0</v>
      </c>
      <c r="D124" s="68">
        <f t="shared" si="10"/>
        <v>2129380</v>
      </c>
      <c r="E124" s="68">
        <f t="shared" si="10"/>
        <v>1941370</v>
      </c>
      <c r="F124" s="68">
        <f t="shared" si="10"/>
        <v>87623</v>
      </c>
      <c r="G124" s="68">
        <f t="shared" si="10"/>
        <v>0</v>
      </c>
      <c r="H124" s="84">
        <f t="shared" si="10"/>
        <v>4158373</v>
      </c>
    </row>
    <row r="125" spans="1:8" ht="15" customHeight="1">
      <c r="A125" s="98"/>
      <c r="B125" s="74" t="s">
        <v>182</v>
      </c>
      <c r="C125" s="88"/>
      <c r="D125" s="72">
        <f t="shared" si="9"/>
        <v>87126</v>
      </c>
      <c r="E125" s="72">
        <v>8300</v>
      </c>
      <c r="F125" s="72"/>
      <c r="G125" s="72"/>
      <c r="H125" s="84">
        <f>'4.pielikums'!B123</f>
        <v>95426</v>
      </c>
    </row>
    <row r="126" spans="1:8" ht="15" customHeight="1">
      <c r="A126" s="98"/>
      <c r="B126" s="74" t="s">
        <v>185</v>
      </c>
      <c r="C126" s="88"/>
      <c r="D126" s="72">
        <f t="shared" si="9"/>
        <v>199275</v>
      </c>
      <c r="E126" s="72">
        <f>2000+4300</f>
        <v>6300</v>
      </c>
      <c r="F126" s="72"/>
      <c r="G126" s="72"/>
      <c r="H126" s="84">
        <f>'4.pielikums'!B124</f>
        <v>205575</v>
      </c>
    </row>
    <row r="127" spans="1:8" ht="15" customHeight="1">
      <c r="A127" s="86"/>
      <c r="B127" s="71" t="s">
        <v>284</v>
      </c>
      <c r="C127" s="87"/>
      <c r="D127" s="72">
        <f t="shared" si="9"/>
        <v>132493</v>
      </c>
      <c r="E127" s="72">
        <f>20000+712078+604281+118585</f>
        <v>1454944</v>
      </c>
      <c r="F127" s="72"/>
      <c r="G127" s="72"/>
      <c r="H127" s="84">
        <f>'4.pielikums'!B142</f>
        <v>1587437</v>
      </c>
    </row>
    <row r="128" spans="1:8" ht="15" customHeight="1">
      <c r="A128" s="95"/>
      <c r="B128" s="74" t="s">
        <v>20</v>
      </c>
      <c r="C128" s="88"/>
      <c r="D128" s="72">
        <f t="shared" si="9"/>
        <v>30049</v>
      </c>
      <c r="E128" s="72"/>
      <c r="F128" s="72"/>
      <c r="G128" s="72"/>
      <c r="H128" s="84">
        <f>'4.pielikums'!B125</f>
        <v>30049</v>
      </c>
    </row>
    <row r="129" spans="1:8" ht="30" customHeight="1">
      <c r="A129" s="86"/>
      <c r="B129" s="74" t="s">
        <v>283</v>
      </c>
      <c r="C129" s="88"/>
      <c r="D129" s="72">
        <f t="shared" si="9"/>
        <v>62144</v>
      </c>
      <c r="E129" s="72">
        <f>2280</f>
        <v>2280</v>
      </c>
      <c r="F129" s="72"/>
      <c r="G129" s="72"/>
      <c r="H129" s="84">
        <f>'4.pielikums'!B126</f>
        <v>64424</v>
      </c>
    </row>
    <row r="130" spans="1:8" ht="15" customHeight="1">
      <c r="A130" s="86"/>
      <c r="B130" s="74" t="s">
        <v>21</v>
      </c>
      <c r="C130" s="88"/>
      <c r="D130" s="72">
        <f t="shared" si="9"/>
        <v>34035</v>
      </c>
      <c r="E130" s="72">
        <f>170</f>
        <v>170</v>
      </c>
      <c r="F130" s="72"/>
      <c r="G130" s="72"/>
      <c r="H130" s="84">
        <f>'4.pielikums'!B127</f>
        <v>34205</v>
      </c>
    </row>
    <row r="131" spans="1:8" ht="30" customHeight="1">
      <c r="A131" s="86"/>
      <c r="B131" s="74" t="s">
        <v>22</v>
      </c>
      <c r="C131" s="88"/>
      <c r="D131" s="72">
        <f t="shared" si="9"/>
        <v>39664</v>
      </c>
      <c r="E131" s="72">
        <f>2100</f>
        <v>2100</v>
      </c>
      <c r="F131" s="72"/>
      <c r="G131" s="72"/>
      <c r="H131" s="84">
        <f>'4.pielikums'!B128</f>
        <v>41764</v>
      </c>
    </row>
    <row r="132" spans="1:8" ht="15" customHeight="1">
      <c r="A132" s="86"/>
      <c r="B132" s="74" t="s">
        <v>23</v>
      </c>
      <c r="C132" s="88"/>
      <c r="D132" s="72">
        <f t="shared" si="9"/>
        <v>17520</v>
      </c>
      <c r="E132" s="72">
        <f>300+1200+2100</f>
        <v>3600</v>
      </c>
      <c r="F132" s="72"/>
      <c r="G132" s="72"/>
      <c r="H132" s="84">
        <f>'4.pielikums'!B129</f>
        <v>21120</v>
      </c>
    </row>
    <row r="133" spans="1:8" ht="15" customHeight="1">
      <c r="A133" s="86"/>
      <c r="B133" s="74" t="s">
        <v>24</v>
      </c>
      <c r="C133" s="88"/>
      <c r="D133" s="72">
        <f t="shared" si="9"/>
        <v>65163</v>
      </c>
      <c r="E133" s="72">
        <f>400</f>
        <v>400</v>
      </c>
      <c r="F133" s="72"/>
      <c r="G133" s="72"/>
      <c r="H133" s="84">
        <f>'4.pielikums'!B130</f>
        <v>65563</v>
      </c>
    </row>
    <row r="134" spans="1:8" ht="30" customHeight="1">
      <c r="A134" s="86"/>
      <c r="B134" s="89" t="s">
        <v>331</v>
      </c>
      <c r="C134" s="88"/>
      <c r="D134" s="72">
        <f t="shared" si="9"/>
        <v>18629</v>
      </c>
      <c r="E134" s="72">
        <f>2000+850+56675</f>
        <v>59525</v>
      </c>
      <c r="F134" s="72"/>
      <c r="G134" s="72"/>
      <c r="H134" s="84">
        <f>'4.pielikums'!B131</f>
        <v>78154</v>
      </c>
    </row>
    <row r="135" spans="1:8" ht="30" customHeight="1">
      <c r="A135" s="86"/>
      <c r="B135" s="94" t="s">
        <v>139</v>
      </c>
      <c r="C135" s="88"/>
      <c r="D135" s="72">
        <f t="shared" si="9"/>
        <v>88380</v>
      </c>
      <c r="E135" s="72">
        <v>638</v>
      </c>
      <c r="F135" s="72"/>
      <c r="G135" s="72"/>
      <c r="H135" s="84">
        <f>'4.pielikums'!B132</f>
        <v>89018</v>
      </c>
    </row>
    <row r="136" spans="1:8" ht="30" customHeight="1">
      <c r="A136" s="86"/>
      <c r="B136" s="74" t="s">
        <v>25</v>
      </c>
      <c r="C136" s="88"/>
      <c r="D136" s="72">
        <f t="shared" si="9"/>
        <v>51924</v>
      </c>
      <c r="E136" s="72">
        <f>220</f>
        <v>220</v>
      </c>
      <c r="F136" s="72"/>
      <c r="G136" s="72"/>
      <c r="H136" s="84">
        <f>'4.pielikums'!B134</f>
        <v>52144</v>
      </c>
    </row>
    <row r="137" spans="1:8" ht="30" customHeight="1">
      <c r="A137" s="86"/>
      <c r="B137" s="89" t="s">
        <v>332</v>
      </c>
      <c r="C137" s="88"/>
      <c r="D137" s="72">
        <f t="shared" si="9"/>
        <v>8857</v>
      </c>
      <c r="E137" s="72"/>
      <c r="F137" s="72"/>
      <c r="G137" s="72"/>
      <c r="H137" s="84">
        <f>'4.pielikums'!B135</f>
        <v>8857</v>
      </c>
    </row>
    <row r="138" spans="1:8" ht="15" customHeight="1">
      <c r="A138" s="86"/>
      <c r="B138" s="94" t="s">
        <v>140</v>
      </c>
      <c r="C138" s="88"/>
      <c r="D138" s="72">
        <f t="shared" si="9"/>
        <v>199351</v>
      </c>
      <c r="E138" s="72">
        <f>200+1000</f>
        <v>1200</v>
      </c>
      <c r="F138" s="72"/>
      <c r="G138" s="72"/>
      <c r="H138" s="84">
        <f>'4.pielikums'!B136</f>
        <v>200551</v>
      </c>
    </row>
    <row r="139" spans="1:8" ht="15" customHeight="1">
      <c r="A139" s="86"/>
      <c r="B139" s="89" t="s">
        <v>333</v>
      </c>
      <c r="C139" s="88"/>
      <c r="D139" s="72">
        <f t="shared" si="9"/>
        <v>3807</v>
      </c>
      <c r="E139" s="72">
        <f>350+270+2590</f>
        <v>3210</v>
      </c>
      <c r="F139" s="72"/>
      <c r="G139" s="72"/>
      <c r="H139" s="84">
        <f>'4.pielikums'!B137</f>
        <v>7017</v>
      </c>
    </row>
    <row r="140" spans="1:8" ht="15" customHeight="1">
      <c r="A140" s="86"/>
      <c r="B140" s="74" t="s">
        <v>26</v>
      </c>
      <c r="C140" s="88"/>
      <c r="D140" s="72">
        <f t="shared" si="9"/>
        <v>76830</v>
      </c>
      <c r="E140" s="72">
        <f>2986+10347+650</f>
        <v>13983</v>
      </c>
      <c r="F140" s="72"/>
      <c r="G140" s="72"/>
      <c r="H140" s="84">
        <f>'4.pielikums'!B138</f>
        <v>90813</v>
      </c>
    </row>
    <row r="141" spans="1:8" ht="30" customHeight="1">
      <c r="A141" s="86"/>
      <c r="B141" s="74" t="s">
        <v>27</v>
      </c>
      <c r="C141" s="88"/>
      <c r="D141" s="72">
        <f t="shared" si="9"/>
        <v>45796</v>
      </c>
      <c r="E141" s="72"/>
      <c r="F141" s="72"/>
      <c r="G141" s="72"/>
      <c r="H141" s="84">
        <f>'4.pielikums'!B139</f>
        <v>45796</v>
      </c>
    </row>
    <row r="142" spans="1:8" ht="15" customHeight="1">
      <c r="A142" s="86"/>
      <c r="B142" s="89" t="s">
        <v>190</v>
      </c>
      <c r="C142" s="88"/>
      <c r="D142" s="72">
        <f t="shared" si="9"/>
        <v>698</v>
      </c>
      <c r="E142" s="72">
        <f>280+3500</f>
        <v>3780</v>
      </c>
      <c r="F142" s="72"/>
      <c r="G142" s="72"/>
      <c r="H142" s="84">
        <f>'4.pielikums'!B140</f>
        <v>4478</v>
      </c>
    </row>
    <row r="143" spans="1:8" ht="15" customHeight="1">
      <c r="A143" s="86"/>
      <c r="B143" s="74" t="s">
        <v>28</v>
      </c>
      <c r="C143" s="88"/>
      <c r="D143" s="72">
        <f t="shared" si="9"/>
        <v>90752</v>
      </c>
      <c r="E143" s="72">
        <f>120+66+550</f>
        <v>736</v>
      </c>
      <c r="F143" s="72"/>
      <c r="G143" s="72"/>
      <c r="H143" s="84">
        <f>'4.pielikums'!B141</f>
        <v>91488</v>
      </c>
    </row>
    <row r="144" spans="1:8" ht="30" customHeight="1">
      <c r="A144" s="86"/>
      <c r="B144" s="89" t="s">
        <v>173</v>
      </c>
      <c r="C144" s="88"/>
      <c r="D144" s="72">
        <f t="shared" si="9"/>
        <v>16391</v>
      </c>
      <c r="E144" s="72">
        <v>17000</v>
      </c>
      <c r="F144" s="72"/>
      <c r="G144" s="72"/>
      <c r="H144" s="84">
        <f>'4.pielikums'!B144</f>
        <v>33391</v>
      </c>
    </row>
    <row r="145" spans="1:8" ht="30" customHeight="1">
      <c r="A145" s="86"/>
      <c r="B145" s="89" t="s">
        <v>116</v>
      </c>
      <c r="C145" s="88"/>
      <c r="D145" s="72">
        <f t="shared" si="9"/>
        <v>0</v>
      </c>
      <c r="E145" s="72">
        <v>7500</v>
      </c>
      <c r="F145" s="72"/>
      <c r="G145" s="72"/>
      <c r="H145" s="84">
        <f>'4.pielikums'!B145</f>
        <v>7500</v>
      </c>
    </row>
    <row r="146" spans="1:8" ht="30" customHeight="1">
      <c r="A146" s="86"/>
      <c r="B146" s="89" t="s">
        <v>120</v>
      </c>
      <c r="C146" s="88"/>
      <c r="D146" s="72">
        <f t="shared" si="9"/>
        <v>0</v>
      </c>
      <c r="E146" s="72">
        <f>1000</f>
        <v>1000</v>
      </c>
      <c r="F146" s="72"/>
      <c r="G146" s="72"/>
      <c r="H146" s="84">
        <f>'4.pielikums'!B146</f>
        <v>1000</v>
      </c>
    </row>
    <row r="147" spans="1:8" ht="30" customHeight="1">
      <c r="A147" s="86"/>
      <c r="B147" s="89" t="s">
        <v>117</v>
      </c>
      <c r="C147" s="88"/>
      <c r="D147" s="72">
        <f t="shared" si="9"/>
        <v>0</v>
      </c>
      <c r="E147" s="72">
        <f>2100+7727</f>
        <v>9827</v>
      </c>
      <c r="F147" s="72"/>
      <c r="G147" s="72"/>
      <c r="H147" s="84">
        <f>'4.pielikums'!B147</f>
        <v>9827</v>
      </c>
    </row>
    <row r="148" spans="1:8" ht="30" customHeight="1">
      <c r="A148" s="86"/>
      <c r="B148" s="89" t="s">
        <v>118</v>
      </c>
      <c r="C148" s="88"/>
      <c r="D148" s="72">
        <f t="shared" si="9"/>
        <v>0</v>
      </c>
      <c r="E148" s="72">
        <v>3200</v>
      </c>
      <c r="F148" s="72"/>
      <c r="G148" s="72"/>
      <c r="H148" s="84">
        <f>'4.pielikums'!B148</f>
        <v>3200</v>
      </c>
    </row>
    <row r="149" spans="1:8" ht="30" customHeight="1">
      <c r="A149" s="86"/>
      <c r="B149" s="74" t="s">
        <v>603</v>
      </c>
      <c r="C149" s="88"/>
      <c r="D149" s="72">
        <f t="shared" si="9"/>
        <v>129108</v>
      </c>
      <c r="E149" s="72"/>
      <c r="F149" s="72"/>
      <c r="G149" s="72"/>
      <c r="H149" s="84">
        <f>'4.pielikums'!B149</f>
        <v>129108</v>
      </c>
    </row>
    <row r="150" spans="1:8" ht="30" customHeight="1">
      <c r="A150" s="86"/>
      <c r="B150" s="89" t="s">
        <v>102</v>
      </c>
      <c r="C150" s="88"/>
      <c r="D150" s="72">
        <f t="shared" si="9"/>
        <v>17283</v>
      </c>
      <c r="E150" s="72"/>
      <c r="F150" s="72"/>
      <c r="G150" s="72"/>
      <c r="H150" s="84">
        <f>'4.pielikums'!B150</f>
        <v>17283</v>
      </c>
    </row>
    <row r="151" spans="1:8" ht="30" customHeight="1">
      <c r="A151" s="86"/>
      <c r="B151" s="89" t="s">
        <v>98</v>
      </c>
      <c r="C151" s="88"/>
      <c r="D151" s="72">
        <f t="shared" si="9"/>
        <v>16233</v>
      </c>
      <c r="E151" s="72"/>
      <c r="F151" s="72"/>
      <c r="G151" s="72"/>
      <c r="H151" s="84">
        <f>'4.pielikums'!B152</f>
        <v>16233</v>
      </c>
    </row>
    <row r="152" spans="1:8" ht="30" customHeight="1">
      <c r="A152" s="86"/>
      <c r="B152" s="89" t="s">
        <v>104</v>
      </c>
      <c r="C152" s="88"/>
      <c r="D152" s="72">
        <f t="shared" si="9"/>
        <v>25217</v>
      </c>
      <c r="E152" s="72">
        <f>400</f>
        <v>400</v>
      </c>
      <c r="F152" s="72"/>
      <c r="G152" s="72"/>
      <c r="H152" s="84">
        <f>'4.pielikums'!B153</f>
        <v>25617</v>
      </c>
    </row>
    <row r="153" spans="1:8" ht="30" customHeight="1">
      <c r="A153" s="86"/>
      <c r="B153" s="89" t="s">
        <v>334</v>
      </c>
      <c r="C153" s="88"/>
      <c r="D153" s="72">
        <f t="shared" si="9"/>
        <v>53391</v>
      </c>
      <c r="E153" s="72"/>
      <c r="F153" s="72"/>
      <c r="G153" s="72"/>
      <c r="H153" s="84">
        <f>'4.pielikums'!B154</f>
        <v>53391</v>
      </c>
    </row>
    <row r="154" spans="1:8" ht="30" customHeight="1">
      <c r="A154" s="86"/>
      <c r="B154" s="89" t="s">
        <v>114</v>
      </c>
      <c r="C154" s="88"/>
      <c r="D154" s="72">
        <f t="shared" si="11" ref="D154">=H154-E154-G154-F154-C154</f>
        <v>24403</v>
      </c>
      <c r="E154" s="72"/>
      <c r="F154" s="72"/>
      <c r="G154" s="72"/>
      <c r="H154" s="84">
        <f>'4.pielikums'!B156</f>
        <v>24403</v>
      </c>
    </row>
    <row r="155" spans="1:8" ht="15" customHeight="1">
      <c r="A155" s="86"/>
      <c r="B155" s="89" t="s">
        <v>119</v>
      </c>
      <c r="C155" s="88"/>
      <c r="D155" s="72">
        <f t="shared" si="9"/>
        <v>205684</v>
      </c>
      <c r="E155" s="72">
        <f>900+1400</f>
        <v>2300</v>
      </c>
      <c r="F155" s="72"/>
      <c r="G155" s="72"/>
      <c r="H155" s="84">
        <f>'4.pielikums'!B157</f>
        <v>207984</v>
      </c>
    </row>
    <row r="156" spans="1:8" ht="30" customHeight="1">
      <c r="A156" s="86"/>
      <c r="B156" s="89" t="s">
        <v>236</v>
      </c>
      <c r="C156" s="88"/>
      <c r="D156" s="72">
        <f t="shared" si="9"/>
        <v>32483</v>
      </c>
      <c r="E156" s="72">
        <f>17608</f>
        <v>17608</v>
      </c>
      <c r="F156" s="72"/>
      <c r="G156" s="72"/>
      <c r="H156" s="84">
        <f>'4.pielikums'!B158</f>
        <v>50091</v>
      </c>
    </row>
    <row r="157" spans="1:8" ht="30" customHeight="1">
      <c r="A157" s="86"/>
      <c r="B157" s="89" t="s">
        <v>109</v>
      </c>
      <c r="C157" s="88"/>
      <c r="D157" s="72">
        <f t="shared" si="9"/>
        <v>64282</v>
      </c>
      <c r="E157" s="72">
        <f>35161</f>
        <v>35161</v>
      </c>
      <c r="F157" s="72"/>
      <c r="G157" s="72"/>
      <c r="H157" s="84">
        <f>'4.pielikums'!B159</f>
        <v>99443</v>
      </c>
    </row>
    <row r="158" spans="1:8" ht="30" customHeight="1">
      <c r="A158" s="86"/>
      <c r="B158" s="89" t="s">
        <v>335</v>
      </c>
      <c r="C158" s="88"/>
      <c r="D158" s="72">
        <f t="shared" si="9"/>
        <v>24514</v>
      </c>
      <c r="E158" s="72">
        <v>15050</v>
      </c>
      <c r="F158" s="72"/>
      <c r="G158" s="72"/>
      <c r="H158" s="84">
        <f>'4.pielikums'!B160</f>
        <v>39564</v>
      </c>
    </row>
    <row r="159" spans="1:8" ht="15" customHeight="1">
      <c r="A159" s="86"/>
      <c r="B159" s="89" t="s">
        <v>251</v>
      </c>
      <c r="C159" s="88"/>
      <c r="D159" s="72">
        <f t="shared" si="9"/>
        <v>30292</v>
      </c>
      <c r="E159" s="72">
        <v>25940</v>
      </c>
      <c r="F159" s="72"/>
      <c r="G159" s="72"/>
      <c r="H159" s="84">
        <f>'4.pielikums'!B161</f>
        <v>56232</v>
      </c>
    </row>
    <row r="160" spans="1:8" ht="30" customHeight="1">
      <c r="A160" s="86"/>
      <c r="B160" s="89" t="s">
        <v>111</v>
      </c>
      <c r="C160" s="88"/>
      <c r="D160" s="72">
        <f t="shared" si="9"/>
        <v>17275</v>
      </c>
      <c r="E160" s="72">
        <v>9000</v>
      </c>
      <c r="F160" s="72"/>
      <c r="G160" s="72"/>
      <c r="H160" s="84">
        <f>'4.pielikums'!B162</f>
        <v>26275</v>
      </c>
    </row>
    <row r="161" spans="1:8" ht="30" customHeight="1">
      <c r="A161" s="86"/>
      <c r="B161" s="89" t="s">
        <v>99</v>
      </c>
      <c r="C161" s="88"/>
      <c r="D161" s="72">
        <f t="shared" si="9"/>
        <v>9995</v>
      </c>
      <c r="E161" s="72">
        <v>69000</v>
      </c>
      <c r="F161" s="72"/>
      <c r="G161" s="72"/>
      <c r="H161" s="84">
        <f>'4.pielikums'!B163</f>
        <v>78995</v>
      </c>
    </row>
    <row r="162" spans="1:8" ht="15" customHeight="1">
      <c r="A162" s="86"/>
      <c r="B162" s="89" t="s">
        <v>101</v>
      </c>
      <c r="C162" s="88"/>
      <c r="D162" s="72">
        <f t="shared" si="9"/>
        <v>38125</v>
      </c>
      <c r="E162" s="72">
        <f>59000</f>
        <v>59000</v>
      </c>
      <c r="F162" s="72"/>
      <c r="G162" s="72"/>
      <c r="H162" s="84">
        <f>'4.pielikums'!B164</f>
        <v>97125</v>
      </c>
    </row>
    <row r="163" spans="1:8" ht="15" customHeight="1">
      <c r="A163" s="86"/>
      <c r="B163" s="97" t="s">
        <v>196</v>
      </c>
      <c r="C163" s="88"/>
      <c r="D163" s="72">
        <f t="shared" si="9"/>
        <v>343</v>
      </c>
      <c r="E163" s="72">
        <f>2500</f>
        <v>2500</v>
      </c>
      <c r="F163" s="72"/>
      <c r="G163" s="72"/>
      <c r="H163" s="84">
        <f>'4.pielikums'!B165</f>
        <v>2843</v>
      </c>
    </row>
    <row r="164" spans="1:8" ht="15" customHeight="1">
      <c r="A164" s="86"/>
      <c r="B164" s="97" t="s">
        <v>195</v>
      </c>
      <c r="C164" s="88"/>
      <c r="D164" s="72">
        <f t="shared" si="9"/>
        <v>3781</v>
      </c>
      <c r="E164" s="72">
        <f>8803</f>
        <v>8803</v>
      </c>
      <c r="F164" s="72"/>
      <c r="G164" s="72"/>
      <c r="H164" s="84">
        <f>'4.pielikums'!B166</f>
        <v>12584</v>
      </c>
    </row>
    <row r="165" spans="1:8" ht="30" customHeight="1">
      <c r="A165" s="86"/>
      <c r="B165" s="89" t="s">
        <v>589</v>
      </c>
      <c r="C165" s="88"/>
      <c r="D165" s="72">
        <f t="shared" si="9"/>
        <v>122</v>
      </c>
      <c r="E165" s="72">
        <v>2500</v>
      </c>
      <c r="F165" s="72"/>
      <c r="G165" s="72"/>
      <c r="H165" s="84">
        <f>'4.pielikums'!B167</f>
        <v>2622</v>
      </c>
    </row>
    <row r="166" spans="1:8" ht="15" customHeight="1">
      <c r="A166" s="86"/>
      <c r="B166" s="89" t="s">
        <v>249</v>
      </c>
      <c r="C166" s="88"/>
      <c r="D166" s="72">
        <f>H166-E166-G166-F166-C166</f>
        <v>1969</v>
      </c>
      <c r="E166" s="72">
        <f>2800</f>
        <v>2800</v>
      </c>
      <c r="F166" s="72"/>
      <c r="G166" s="72"/>
      <c r="H166" s="84">
        <f>'4.pielikums'!B168</f>
        <v>4769</v>
      </c>
    </row>
    <row r="167" spans="1:8" ht="30" customHeight="1">
      <c r="A167" s="86"/>
      <c r="B167" s="89" t="s">
        <v>590</v>
      </c>
      <c r="C167" s="88"/>
      <c r="D167" s="72">
        <f>H167-E167-G167-F167-C167</f>
        <v>3768</v>
      </c>
      <c r="E167" s="72">
        <v>3000</v>
      </c>
      <c r="F167" s="72"/>
      <c r="G167" s="72"/>
      <c r="H167" s="84">
        <f>'4.pielikums'!B169</f>
        <v>6768</v>
      </c>
    </row>
    <row r="168" spans="1:8" ht="15" customHeight="1">
      <c r="A168" s="86"/>
      <c r="B168" s="89" t="s">
        <v>235</v>
      </c>
      <c r="C168" s="88"/>
      <c r="D168" s="72">
        <f t="shared" si="9"/>
        <v>346</v>
      </c>
      <c r="E168" s="72">
        <f>3445+900</f>
        <v>4345</v>
      </c>
      <c r="F168" s="72"/>
      <c r="G168" s="72"/>
      <c r="H168" s="84">
        <f>'4.pielikums'!B170</f>
        <v>4691</v>
      </c>
    </row>
    <row r="169" spans="1:8" ht="15" customHeight="1">
      <c r="A169" s="86"/>
      <c r="B169" s="89" t="s">
        <v>238</v>
      </c>
      <c r="C169" s="88"/>
      <c r="D169" s="72">
        <f t="shared" si="9"/>
        <v>516</v>
      </c>
      <c r="E169" s="72">
        <f>4832</f>
        <v>4832</v>
      </c>
      <c r="F169" s="72"/>
      <c r="G169" s="72"/>
      <c r="H169" s="84">
        <f>'4.pielikums'!B172</f>
        <v>5348</v>
      </c>
    </row>
    <row r="170" spans="1:8" ht="30" customHeight="1">
      <c r="A170" s="86"/>
      <c r="B170" s="89" t="s">
        <v>110</v>
      </c>
      <c r="C170" s="88"/>
      <c r="D170" s="72">
        <f t="shared" si="9"/>
        <v>7546</v>
      </c>
      <c r="E170" s="72">
        <f>6200</f>
        <v>6200</v>
      </c>
      <c r="F170" s="72"/>
      <c r="G170" s="72"/>
      <c r="H170" s="84">
        <f>'4.pielikums'!B173</f>
        <v>13746</v>
      </c>
    </row>
    <row r="171" spans="1:8" ht="15" customHeight="1">
      <c r="A171" s="86"/>
      <c r="B171" s="96" t="s">
        <v>141</v>
      </c>
      <c r="C171" s="88"/>
      <c r="D171" s="72">
        <f t="shared" si="9"/>
        <v>860</v>
      </c>
      <c r="E171" s="72">
        <f>2900+5337</f>
        <v>8237</v>
      </c>
      <c r="F171" s="72"/>
      <c r="G171" s="72"/>
      <c r="H171" s="84">
        <f>'4.pielikums'!B174</f>
        <v>9097</v>
      </c>
    </row>
    <row r="172" spans="1:8" ht="30" customHeight="1">
      <c r="A172" s="86"/>
      <c r="B172" s="89" t="s">
        <v>591</v>
      </c>
      <c r="C172" s="88"/>
      <c r="D172" s="72">
        <f t="shared" si="9"/>
        <v>83</v>
      </c>
      <c r="E172" s="72">
        <v>2700</v>
      </c>
      <c r="F172" s="72"/>
      <c r="G172" s="72"/>
      <c r="H172" s="84">
        <f>'4.pielikums'!B175</f>
        <v>2783</v>
      </c>
    </row>
    <row r="173" spans="1:8" ht="30" customHeight="1">
      <c r="A173" s="86"/>
      <c r="B173" s="89" t="s">
        <v>103</v>
      </c>
      <c r="C173" s="88"/>
      <c r="D173" s="72">
        <f t="shared" si="9"/>
        <v>724</v>
      </c>
      <c r="E173" s="72">
        <f>4589</f>
        <v>4589</v>
      </c>
      <c r="F173" s="72"/>
      <c r="G173" s="72"/>
      <c r="H173" s="84">
        <f>'4.pielikums'!B176</f>
        <v>5313</v>
      </c>
    </row>
    <row r="174" spans="1:8" ht="15" customHeight="1">
      <c r="A174" s="86"/>
      <c r="B174" s="89" t="s">
        <v>107</v>
      </c>
      <c r="C174" s="88"/>
      <c r="D174" s="72">
        <f t="shared" si="9"/>
        <v>309</v>
      </c>
      <c r="E174" s="72">
        <f>2668</f>
        <v>2668</v>
      </c>
      <c r="F174" s="72"/>
      <c r="G174" s="72"/>
      <c r="H174" s="84">
        <f>'4.pielikums'!B177</f>
        <v>2977</v>
      </c>
    </row>
    <row r="175" spans="1:8" ht="15" customHeight="1">
      <c r="A175" s="86"/>
      <c r="B175" s="96" t="s">
        <v>142</v>
      </c>
      <c r="C175" s="88"/>
      <c r="D175" s="72">
        <f t="shared" si="9"/>
        <v>716</v>
      </c>
      <c r="E175" s="72">
        <f>8530</f>
        <v>8530</v>
      </c>
      <c r="F175" s="72"/>
      <c r="G175" s="72"/>
      <c r="H175" s="84">
        <f>'4.pielikums'!B178</f>
        <v>9246</v>
      </c>
    </row>
    <row r="176" spans="1:8" ht="15" customHeight="1">
      <c r="A176" s="86"/>
      <c r="B176" s="89" t="s">
        <v>108</v>
      </c>
      <c r="C176" s="88"/>
      <c r="D176" s="72">
        <f t="shared" si="9"/>
        <v>0</v>
      </c>
      <c r="E176" s="72">
        <v>2490</v>
      </c>
      <c r="F176" s="72"/>
      <c r="G176" s="72"/>
      <c r="H176" s="84">
        <f>'4.pielikums'!B179</f>
        <v>2490</v>
      </c>
    </row>
    <row r="177" spans="1:8" ht="15" customHeight="1">
      <c r="A177" s="86"/>
      <c r="B177" s="89" t="s">
        <v>252</v>
      </c>
      <c r="C177" s="88"/>
      <c r="D177" s="72">
        <f t="shared" si="9"/>
        <v>0</v>
      </c>
      <c r="E177" s="72">
        <v>8746</v>
      </c>
      <c r="F177" s="72"/>
      <c r="G177" s="72"/>
      <c r="H177" s="84">
        <f>'4.pielikums'!B180</f>
        <v>8746</v>
      </c>
    </row>
    <row r="178" spans="1:8" ht="15" customHeight="1">
      <c r="A178" s="86"/>
      <c r="B178" s="89" t="s">
        <v>587</v>
      </c>
      <c r="C178" s="88"/>
      <c r="D178" s="72">
        <f t="shared" si="9"/>
        <v>0</v>
      </c>
      <c r="E178" s="72">
        <f>2300+1200</f>
        <v>3500</v>
      </c>
      <c r="F178" s="72"/>
      <c r="G178" s="72"/>
      <c r="H178" s="84">
        <f>'4.pielikums'!B182</f>
        <v>3500</v>
      </c>
    </row>
    <row r="179" spans="1:8" ht="15" customHeight="1">
      <c r="A179" s="86"/>
      <c r="B179" s="89" t="s">
        <v>105</v>
      </c>
      <c r="C179" s="88"/>
      <c r="D179" s="72">
        <f t="shared" si="9"/>
        <v>0</v>
      </c>
      <c r="E179" s="72">
        <f>2315</f>
        <v>2315</v>
      </c>
      <c r="F179" s="72"/>
      <c r="G179" s="72"/>
      <c r="H179" s="84">
        <f>'4.pielikums'!B181</f>
        <v>2315</v>
      </c>
    </row>
    <row r="180" spans="1:8" ht="15" customHeight="1">
      <c r="A180" s="86"/>
      <c r="B180" s="89" t="s">
        <v>113</v>
      </c>
      <c r="C180" s="88"/>
      <c r="D180" s="72">
        <f t="shared" si="9"/>
        <v>1774</v>
      </c>
      <c r="E180" s="72">
        <f>2200</f>
        <v>2200</v>
      </c>
      <c r="F180" s="72"/>
      <c r="G180" s="72"/>
      <c r="H180" s="84">
        <f>'4.pielikums'!B183</f>
        <v>3974</v>
      </c>
    </row>
    <row r="181" spans="1:8" ht="30" customHeight="1">
      <c r="A181" s="86"/>
      <c r="B181" s="89" t="s">
        <v>100</v>
      </c>
      <c r="C181" s="88"/>
      <c r="D181" s="72">
        <f t="shared" si="9"/>
        <v>18580</v>
      </c>
      <c r="E181" s="72">
        <f>15900</f>
        <v>15900</v>
      </c>
      <c r="F181" s="72"/>
      <c r="G181" s="72"/>
      <c r="H181" s="84">
        <f>'4.pielikums'!B184</f>
        <v>34480</v>
      </c>
    </row>
    <row r="182" spans="1:8" ht="30" customHeight="1">
      <c r="A182" s="86"/>
      <c r="B182" s="89" t="s">
        <v>588</v>
      </c>
      <c r="C182" s="88"/>
      <c r="D182" s="72">
        <f t="shared" si="9"/>
        <v>5</v>
      </c>
      <c r="E182" s="72">
        <v>2835</v>
      </c>
      <c r="F182" s="72"/>
      <c r="G182" s="72"/>
      <c r="H182" s="84">
        <f>'4.pielikums'!B185</f>
        <v>2840</v>
      </c>
    </row>
    <row r="183" spans="1:8" ht="15" customHeight="1">
      <c r="A183" s="86"/>
      <c r="B183" s="89" t="s">
        <v>336</v>
      </c>
      <c r="C183" s="88"/>
      <c r="D183" s="72">
        <f t="shared" si="9"/>
        <v>4656</v>
      </c>
      <c r="E183" s="72">
        <f>8308</f>
        <v>8308</v>
      </c>
      <c r="F183" s="72"/>
      <c r="G183" s="72"/>
      <c r="H183" s="84">
        <f>'4.pielikums'!B186</f>
        <v>12964</v>
      </c>
    </row>
    <row r="184" spans="1:8" ht="30" customHeight="1">
      <c r="A184" s="86"/>
      <c r="B184" s="94" t="s">
        <v>138</v>
      </c>
      <c r="C184" s="88"/>
      <c r="D184" s="72">
        <f t="shared" si="9"/>
        <v>26000</v>
      </c>
      <c r="E184" s="72"/>
      <c r="F184" s="72"/>
      <c r="G184" s="72"/>
      <c r="H184" s="84">
        <f>'4.pielikums'!B187</f>
        <v>26000</v>
      </c>
    </row>
    <row r="185" spans="1:8" ht="30" customHeight="1">
      <c r="A185" s="86"/>
      <c r="B185" s="94" t="s">
        <v>570</v>
      </c>
      <c r="C185" s="88"/>
      <c r="D185" s="72">
        <f t="shared" si="9"/>
        <v>113</v>
      </c>
      <c r="E185" s="72"/>
      <c r="F185" s="72">
        <f>45466+42157</f>
        <v>87623</v>
      </c>
      <c r="G185" s="72"/>
      <c r="H185" s="84">
        <f>'4.pielikums'!B375</f>
        <v>87736</v>
      </c>
    </row>
    <row r="186" spans="1:8" ht="15" customHeight="1">
      <c r="A186" s="86"/>
      <c r="B186" s="94" t="s">
        <v>177</v>
      </c>
      <c r="C186" s="88"/>
      <c r="D186" s="72">
        <f t="shared" si="9"/>
        <v>100000</v>
      </c>
      <c r="E186" s="72"/>
      <c r="F186" s="72"/>
      <c r="G186" s="72"/>
      <c r="H186" s="84">
        <f>'4.pielikums'!B376</f>
        <v>100000</v>
      </c>
    </row>
    <row r="187" spans="1:8" ht="15" customHeight="1">
      <c r="A187" s="11" t="s">
        <v>285</v>
      </c>
      <c r="B187" s="67" t="s">
        <v>286</v>
      </c>
      <c r="C187" s="68">
        <f>SUM(C188:C201)</f>
        <v>37734</v>
      </c>
      <c r="D187" s="68">
        <f>SUM(D188:D201)</f>
        <v>26918</v>
      </c>
      <c r="E187" s="68">
        <f>SUM(E188:E201)</f>
        <v>451</v>
      </c>
      <c r="F187" s="68">
        <f>SUM(F188:F201)</f>
        <v>165112</v>
      </c>
      <c r="G187" s="68">
        <f t="shared" si="12" ref="G187">=SUM(G188:G201)</f>
        <v>0</v>
      </c>
      <c r="H187" s="84">
        <f>SUM(H188:H201)</f>
        <v>230215</v>
      </c>
    </row>
    <row r="188" spans="1:8" ht="15" customHeight="1">
      <c r="A188" s="86"/>
      <c r="B188" s="74" t="s">
        <v>287</v>
      </c>
      <c r="C188" s="88"/>
      <c r="D188" s="72">
        <f t="shared" si="9"/>
        <v>4427</v>
      </c>
      <c r="E188" s="72">
        <f>200</f>
        <v>200</v>
      </c>
      <c r="F188" s="72">
        <f t="shared" si="13" ref="F188:F196">=10487+667</f>
        <v>11154</v>
      </c>
      <c r="G188" s="72"/>
      <c r="H188" s="84">
        <f>'4.pielikums'!B188</f>
        <v>15781</v>
      </c>
    </row>
    <row r="189" spans="1:8" ht="15" customHeight="1">
      <c r="A189" s="86"/>
      <c r="B189" s="74" t="s">
        <v>288</v>
      </c>
      <c r="C189" s="88"/>
      <c r="D189" s="72">
        <f t="shared" si="9"/>
        <v>3010</v>
      </c>
      <c r="E189" s="72">
        <f>60</f>
        <v>60</v>
      </c>
      <c r="F189" s="72">
        <f t="shared" si="13"/>
        <v>11154</v>
      </c>
      <c r="G189" s="72"/>
      <c r="H189" s="84">
        <f>'4.pielikums'!B189</f>
        <v>14224</v>
      </c>
    </row>
    <row r="190" spans="1:8" ht="15" customHeight="1">
      <c r="A190" s="86"/>
      <c r="B190" s="74" t="s">
        <v>289</v>
      </c>
      <c r="C190" s="88"/>
      <c r="D190" s="72">
        <f t="shared" si="14" ref="D190:D201">=H190-E190-G190-F190-C190</f>
        <v>1463</v>
      </c>
      <c r="E190" s="72">
        <f>70</f>
        <v>70</v>
      </c>
      <c r="F190" s="72">
        <f t="shared" si="13"/>
        <v>11154</v>
      </c>
      <c r="G190" s="72"/>
      <c r="H190" s="84">
        <f>'4.pielikums'!B190</f>
        <v>12687</v>
      </c>
    </row>
    <row r="191" spans="1:8" ht="15" customHeight="1">
      <c r="A191" s="86"/>
      <c r="B191" s="74" t="s">
        <v>144</v>
      </c>
      <c r="C191" s="88"/>
      <c r="D191" s="72">
        <f t="shared" si="14"/>
        <v>774</v>
      </c>
      <c r="E191" s="72"/>
      <c r="F191" s="72">
        <f t="shared" si="13"/>
        <v>11154</v>
      </c>
      <c r="G191" s="72"/>
      <c r="H191" s="84">
        <f>'4.pielikums'!B191</f>
        <v>11928</v>
      </c>
    </row>
    <row r="192" spans="1:8" ht="15" customHeight="1">
      <c r="A192" s="86"/>
      <c r="B192" s="74" t="s">
        <v>290</v>
      </c>
      <c r="C192" s="88"/>
      <c r="D192" s="72">
        <f t="shared" si="14"/>
        <v>641</v>
      </c>
      <c r="E192" s="72">
        <f>25</f>
        <v>25</v>
      </c>
      <c r="F192" s="72">
        <f t="shared" si="13"/>
        <v>11154</v>
      </c>
      <c r="G192" s="72"/>
      <c r="H192" s="84">
        <f>'4.pielikums'!B192</f>
        <v>11820</v>
      </c>
    </row>
    <row r="193" spans="1:8" ht="15" customHeight="1">
      <c r="A193" s="86"/>
      <c r="B193" s="74" t="s">
        <v>291</v>
      </c>
      <c r="C193" s="88"/>
      <c r="D193" s="72">
        <f t="shared" si="14"/>
        <v>3170</v>
      </c>
      <c r="E193" s="72"/>
      <c r="F193" s="72">
        <f t="shared" si="13"/>
        <v>11154</v>
      </c>
      <c r="G193" s="72"/>
      <c r="H193" s="84">
        <f>'4.pielikums'!B193</f>
        <v>14324</v>
      </c>
    </row>
    <row r="194" spans="1:8" ht="15" customHeight="1">
      <c r="A194" s="86"/>
      <c r="B194" s="89" t="s">
        <v>292</v>
      </c>
      <c r="C194" s="88"/>
      <c r="D194" s="72">
        <f t="shared" si="14"/>
        <v>4065</v>
      </c>
      <c r="E194" s="72">
        <v>51</v>
      </c>
      <c r="F194" s="72">
        <f t="shared" si="13"/>
        <v>11154</v>
      </c>
      <c r="G194" s="72"/>
      <c r="H194" s="84">
        <f>'4.pielikums'!B194</f>
        <v>15270</v>
      </c>
    </row>
    <row r="195" spans="1:8" ht="15" customHeight="1">
      <c r="A195" s="86"/>
      <c r="B195" s="74" t="s">
        <v>293</v>
      </c>
      <c r="C195" s="88"/>
      <c r="D195" s="72">
        <f t="shared" si="14"/>
        <v>6080</v>
      </c>
      <c r="E195" s="72">
        <f>25</f>
        <v>25</v>
      </c>
      <c r="F195" s="72">
        <f t="shared" si="13"/>
        <v>11154</v>
      </c>
      <c r="G195" s="72"/>
      <c r="H195" s="84">
        <f>'4.pielikums'!B195</f>
        <v>17259</v>
      </c>
    </row>
    <row r="196" spans="1:8" ht="15" customHeight="1">
      <c r="A196" s="86"/>
      <c r="B196" s="74" t="s">
        <v>294</v>
      </c>
      <c r="C196" s="88"/>
      <c r="D196" s="72">
        <f t="shared" si="14"/>
        <v>554</v>
      </c>
      <c r="E196" s="72">
        <f>20</f>
        <v>20</v>
      </c>
      <c r="F196" s="72">
        <f t="shared" si="13"/>
        <v>11154</v>
      </c>
      <c r="G196" s="72"/>
      <c r="H196" s="84">
        <f>'4.pielikums'!B196</f>
        <v>11728</v>
      </c>
    </row>
    <row r="197" spans="1:8" ht="15" customHeight="1">
      <c r="A197" s="86"/>
      <c r="B197" s="76" t="s">
        <v>295</v>
      </c>
      <c r="C197" s="88"/>
      <c r="D197" s="72">
        <f t="shared" si="14"/>
        <v>0</v>
      </c>
      <c r="E197" s="72"/>
      <c r="F197" s="72">
        <v>34886</v>
      </c>
      <c r="G197" s="72"/>
      <c r="H197" s="84">
        <f>'4.pielikums'!B197</f>
        <v>34886</v>
      </c>
    </row>
    <row r="198" spans="1:8" ht="47.1" customHeight="1">
      <c r="A198" s="86"/>
      <c r="B198" s="76" t="s">
        <v>57</v>
      </c>
      <c r="C198" s="88">
        <v>23905</v>
      </c>
      <c r="D198" s="72">
        <f t="shared" si="14"/>
        <v>0</v>
      </c>
      <c r="E198" s="72"/>
      <c r="F198" s="72">
        <v>21620</v>
      </c>
      <c r="G198" s="72"/>
      <c r="H198" s="84">
        <f>'4.pielikums'!B198</f>
        <v>45525</v>
      </c>
    </row>
    <row r="199" spans="1:8" ht="62.1" customHeight="1">
      <c r="A199" s="86"/>
      <c r="B199" s="94" t="s">
        <v>244</v>
      </c>
      <c r="C199" s="88">
        <v>9627</v>
      </c>
      <c r="D199" s="72">
        <f t="shared" si="14"/>
        <v>2085</v>
      </c>
      <c r="E199" s="72"/>
      <c r="F199" s="72">
        <f>4093</f>
        <v>4093</v>
      </c>
      <c r="G199" s="72"/>
      <c r="H199" s="84">
        <f>'4.pielikums'!B199</f>
        <v>15805</v>
      </c>
    </row>
    <row r="200" spans="1:8" ht="15" customHeight="1">
      <c r="A200" s="86"/>
      <c r="B200" s="94" t="s">
        <v>143</v>
      </c>
      <c r="C200" s="88">
        <v>58</v>
      </c>
      <c r="D200" s="72">
        <f t="shared" si="14"/>
        <v>649</v>
      </c>
      <c r="E200" s="72"/>
      <c r="F200" s="72">
        <v>2538</v>
      </c>
      <c r="G200" s="72"/>
      <c r="H200" s="84">
        <f>'4.pielikums'!B200</f>
        <v>3245</v>
      </c>
    </row>
    <row r="201" spans="1:8" ht="45" customHeight="1">
      <c r="A201" s="86"/>
      <c r="B201" s="89" t="s">
        <v>206</v>
      </c>
      <c r="C201" s="88">
        <v>4144</v>
      </c>
      <c r="D201" s="72">
        <f t="shared" si="14"/>
        <v>0</v>
      </c>
      <c r="E201" s="72"/>
      <c r="F201" s="72">
        <v>1589</v>
      </c>
      <c r="G201" s="72"/>
      <c r="H201" s="84">
        <f>'4.pielikums'!B201</f>
        <v>5733</v>
      </c>
    </row>
    <row r="202" spans="1:8" ht="15" customHeight="1">
      <c r="A202" s="11" t="s">
        <v>296</v>
      </c>
      <c r="B202" s="67" t="s">
        <v>535</v>
      </c>
      <c r="C202" s="68">
        <f t="shared" si="15" ref="C202:H202">=C203+C209+C211+C217+C239</f>
        <v>516382</v>
      </c>
      <c r="D202" s="68">
        <f t="shared" si="15"/>
        <v>2456059</v>
      </c>
      <c r="E202" s="68">
        <f t="shared" si="15"/>
        <v>183090</v>
      </c>
      <c r="F202" s="68">
        <f t="shared" si="15"/>
        <v>316453</v>
      </c>
      <c r="G202" s="68">
        <f t="shared" si="15"/>
        <v>986539</v>
      </c>
      <c r="H202" s="84">
        <f t="shared" si="15"/>
        <v>4458523</v>
      </c>
    </row>
    <row r="203" spans="1:8" ht="15" customHeight="1">
      <c r="A203" s="11"/>
      <c r="B203" s="67" t="s">
        <v>297</v>
      </c>
      <c r="C203" s="68">
        <f t="shared" si="16" ref="C203:G203">=SUM(C204:C206)</f>
        <v>0</v>
      </c>
      <c r="D203" s="68">
        <f>SUM(D204:D207)</f>
        <v>159137</v>
      </c>
      <c r="E203" s="68">
        <f>SUM(E204:E207)</f>
        <v>2985</v>
      </c>
      <c r="F203" s="68">
        <f t="shared" si="16"/>
        <v>0</v>
      </c>
      <c r="G203" s="68">
        <f t="shared" si="16"/>
        <v>0</v>
      </c>
      <c r="H203" s="84">
        <f>SUM(H204:H207)</f>
        <v>162122</v>
      </c>
    </row>
    <row r="204" spans="1:8" ht="15" customHeight="1">
      <c r="A204" s="86"/>
      <c r="B204" s="71" t="s">
        <v>167</v>
      </c>
      <c r="C204" s="87"/>
      <c r="D204" s="72">
        <f t="shared" si="17" ref="D204:D257">=H204-E204-G204-F204-C204</f>
        <v>83744</v>
      </c>
      <c r="E204" s="72"/>
      <c r="F204" s="72"/>
      <c r="G204" s="72"/>
      <c r="H204" s="84">
        <f>'4.pielikums'!B202</f>
        <v>83744</v>
      </c>
    </row>
    <row r="205" spans="1:8" ht="15" customHeight="1">
      <c r="A205" s="86"/>
      <c r="B205" s="74" t="s">
        <v>199</v>
      </c>
      <c r="C205" s="88"/>
      <c r="D205" s="72">
        <f t="shared" si="17"/>
        <v>42155</v>
      </c>
      <c r="E205" s="72">
        <v>1985</v>
      </c>
      <c r="F205" s="72"/>
      <c r="G205" s="72"/>
      <c r="H205" s="84">
        <f>'4.pielikums'!B203</f>
        <v>44140</v>
      </c>
    </row>
    <row r="206" spans="1:8" ht="15" customHeight="1">
      <c r="A206" s="86"/>
      <c r="B206" s="74" t="s">
        <v>220</v>
      </c>
      <c r="C206" s="88"/>
      <c r="D206" s="72">
        <f t="shared" si="17"/>
        <v>22496</v>
      </c>
      <c r="E206" s="72">
        <f>1000</f>
        <v>1000</v>
      </c>
      <c r="F206" s="72"/>
      <c r="G206" s="72"/>
      <c r="H206" s="84">
        <f>'4.pielikums'!B205</f>
        <v>23496</v>
      </c>
    </row>
    <row r="207" spans="1:8" ht="15" customHeight="1">
      <c r="A207" s="86"/>
      <c r="B207" s="94" t="s">
        <v>601</v>
      </c>
      <c r="C207" s="88"/>
      <c r="D207" s="72">
        <f>H207-E207-G207-F207-C207</f>
        <v>10742</v>
      </c>
      <c r="E207" s="72"/>
      <c r="F207" s="72"/>
      <c r="G207" s="72"/>
      <c r="H207" s="84">
        <f>'4.pielikums'!B366</f>
        <v>10742</v>
      </c>
    </row>
    <row r="208" spans="1:8" ht="15" customHeight="1">
      <c r="A208" s="11"/>
      <c r="B208" s="67" t="s">
        <v>299</v>
      </c>
      <c r="C208" s="91"/>
      <c r="D208" s="72"/>
      <c r="E208" s="68"/>
      <c r="F208" s="68"/>
      <c r="G208" s="68"/>
      <c r="H208" s="84"/>
    </row>
    <row r="209" spans="1:8" ht="15" customHeight="1">
      <c r="A209" s="11"/>
      <c r="B209" s="67" t="s">
        <v>300</v>
      </c>
      <c r="C209" s="68">
        <f t="shared" si="18" ref="C209:H209">=SUM(C210:C210)</f>
        <v>0</v>
      </c>
      <c r="D209" s="68">
        <f t="shared" si="18"/>
        <v>518126</v>
      </c>
      <c r="E209" s="68">
        <f t="shared" si="18"/>
        <v>12880</v>
      </c>
      <c r="F209" s="68">
        <f t="shared" si="18"/>
        <v>0</v>
      </c>
      <c r="G209" s="68">
        <f t="shared" si="18"/>
        <v>0</v>
      </c>
      <c r="H209" s="84">
        <f t="shared" si="18"/>
        <v>531006</v>
      </c>
    </row>
    <row r="210" spans="1:8" ht="15" customHeight="1">
      <c r="A210" s="86"/>
      <c r="B210" s="71" t="s">
        <v>31</v>
      </c>
      <c r="C210" s="87"/>
      <c r="D210" s="72">
        <f t="shared" si="17"/>
        <v>518126</v>
      </c>
      <c r="E210" s="72">
        <f>2114+1500+9266</f>
        <v>12880</v>
      </c>
      <c r="F210" s="72"/>
      <c r="G210" s="72"/>
      <c r="H210" s="84">
        <f>'4.pielikums'!B206</f>
        <v>531006</v>
      </c>
    </row>
    <row r="211" spans="1:8" ht="15" customHeight="1">
      <c r="A211" s="11"/>
      <c r="B211" s="67" t="s">
        <v>301</v>
      </c>
      <c r="C211" s="68">
        <f t="shared" si="19" ref="C211:H211">=SUM(C212:C216)</f>
        <v>0</v>
      </c>
      <c r="D211" s="68">
        <f t="shared" si="19"/>
        <v>249594</v>
      </c>
      <c r="E211" s="68">
        <f t="shared" si="19"/>
        <v>13123</v>
      </c>
      <c r="F211" s="68">
        <f t="shared" si="19"/>
        <v>0</v>
      </c>
      <c r="G211" s="68">
        <f t="shared" si="19"/>
        <v>0</v>
      </c>
      <c r="H211" s="84">
        <f t="shared" si="19"/>
        <v>262717</v>
      </c>
    </row>
    <row r="212" spans="1:8" ht="15" customHeight="1">
      <c r="A212" s="86"/>
      <c r="B212" s="71" t="s">
        <v>302</v>
      </c>
      <c r="C212" s="87"/>
      <c r="D212" s="72">
        <f t="shared" si="17"/>
        <v>124574</v>
      </c>
      <c r="E212" s="72">
        <f>2800+1000+6500+100</f>
        <v>10400</v>
      </c>
      <c r="F212" s="72"/>
      <c r="G212" s="72"/>
      <c r="H212" s="84">
        <f>'4.pielikums'!B208</f>
        <v>134974</v>
      </c>
    </row>
    <row r="213" spans="1:8" ht="15" customHeight="1">
      <c r="A213" s="86"/>
      <c r="B213" s="71" t="s">
        <v>145</v>
      </c>
      <c r="C213" s="87"/>
      <c r="D213" s="72">
        <f t="shared" si="17"/>
        <v>53820</v>
      </c>
      <c r="E213" s="72">
        <f>100+100</f>
        <v>200</v>
      </c>
      <c r="F213" s="72"/>
      <c r="G213" s="72"/>
      <c r="H213" s="84">
        <f>'4.pielikums'!B209</f>
        <v>54020</v>
      </c>
    </row>
    <row r="214" spans="1:8" ht="15" customHeight="1">
      <c r="A214" s="86"/>
      <c r="B214" s="94" t="s">
        <v>126</v>
      </c>
      <c r="C214" s="88"/>
      <c r="D214" s="72">
        <f t="shared" si="17"/>
        <v>13729</v>
      </c>
      <c r="E214" s="72"/>
      <c r="F214" s="72"/>
      <c r="G214" s="72"/>
      <c r="H214" s="84">
        <f>'4.pielikums'!B210</f>
        <v>13729</v>
      </c>
    </row>
    <row r="215" spans="1:8" ht="15" customHeight="1">
      <c r="A215" s="86"/>
      <c r="B215" s="89" t="s">
        <v>125</v>
      </c>
      <c r="C215" s="88"/>
      <c r="D215" s="72">
        <f t="shared" si="17"/>
        <v>43490</v>
      </c>
      <c r="E215" s="72">
        <f>950+373</f>
        <v>1323</v>
      </c>
      <c r="F215" s="72"/>
      <c r="G215" s="72"/>
      <c r="H215" s="84">
        <f>'4.pielikums'!B211</f>
        <v>44813</v>
      </c>
    </row>
    <row r="216" spans="1:8" ht="30" customHeight="1">
      <c r="A216" s="86"/>
      <c r="B216" s="89" t="s">
        <v>124</v>
      </c>
      <c r="C216" s="88"/>
      <c r="D216" s="72">
        <f t="shared" si="17"/>
        <v>13981</v>
      </c>
      <c r="E216" s="72">
        <f>900+300</f>
        <v>1200</v>
      </c>
      <c r="F216" s="72"/>
      <c r="G216" s="72"/>
      <c r="H216" s="84">
        <f>'4.pielikums'!B213</f>
        <v>15181</v>
      </c>
    </row>
    <row r="217" spans="1:8" ht="15" customHeight="1">
      <c r="A217" s="11"/>
      <c r="B217" s="67" t="s">
        <v>303</v>
      </c>
      <c r="C217" s="68">
        <f>SUM(C218:C238)</f>
        <v>0</v>
      </c>
      <c r="D217" s="68">
        <f>SUM(D218:D238)</f>
        <v>1045748</v>
      </c>
      <c r="E217" s="68">
        <f>SUM(E218:E238)</f>
        <v>132452</v>
      </c>
      <c r="F217" s="68">
        <f t="shared" si="20" ref="F217:G217">=SUM(F218:F238)</f>
        <v>23722</v>
      </c>
      <c r="G217" s="68">
        <f t="shared" si="20"/>
        <v>0</v>
      </c>
      <c r="H217" s="84">
        <f>SUM(H218:H238)</f>
        <v>1201922</v>
      </c>
    </row>
    <row r="218" spans="1:8" ht="15" customHeight="1">
      <c r="A218" s="86"/>
      <c r="B218" s="71" t="s">
        <v>75</v>
      </c>
      <c r="C218" s="87"/>
      <c r="D218" s="72">
        <f t="shared" si="17"/>
        <v>247185</v>
      </c>
      <c r="E218" s="72">
        <f>8193+5000</f>
        <v>13193</v>
      </c>
      <c r="F218" s="72">
        <f>6953</f>
        <v>6953</v>
      </c>
      <c r="G218" s="72"/>
      <c r="H218" s="84">
        <f>'4.pielikums'!B214</f>
        <v>267331</v>
      </c>
    </row>
    <row r="219" spans="1:8" ht="30" customHeight="1">
      <c r="A219" s="86"/>
      <c r="B219" s="74" t="s">
        <v>305</v>
      </c>
      <c r="C219" s="88"/>
      <c r="D219" s="72">
        <f t="shared" si="17"/>
        <v>45956</v>
      </c>
      <c r="E219" s="72">
        <f>66750+200</f>
        <v>66950</v>
      </c>
      <c r="F219" s="72"/>
      <c r="G219" s="72"/>
      <c r="H219" s="84">
        <f>'4.pielikums'!B215</f>
        <v>112906</v>
      </c>
    </row>
    <row r="220" spans="1:8" ht="15" customHeight="1">
      <c r="A220" s="86"/>
      <c r="B220" s="74" t="s">
        <v>620</v>
      </c>
      <c r="C220" s="88"/>
      <c r="D220" s="72">
        <f t="shared" si="17"/>
        <v>45138</v>
      </c>
      <c r="E220" s="72">
        <v>150</v>
      </c>
      <c r="F220" s="72">
        <v>1636</v>
      </c>
      <c r="G220" s="72"/>
      <c r="H220" s="84">
        <f>'4.pielikums'!B217</f>
        <v>46924</v>
      </c>
    </row>
    <row r="221" spans="1:8" ht="15" customHeight="1">
      <c r="A221" s="86"/>
      <c r="B221" s="74" t="s">
        <v>161</v>
      </c>
      <c r="C221" s="88"/>
      <c r="D221" s="72">
        <f t="shared" si="17"/>
        <v>7131</v>
      </c>
      <c r="E221" s="72">
        <v>3400</v>
      </c>
      <c r="F221" s="72"/>
      <c r="G221" s="72"/>
      <c r="H221" s="84">
        <f>'4.pielikums'!B218</f>
        <v>10531</v>
      </c>
    </row>
    <row r="222" spans="1:8" ht="15" customHeight="1">
      <c r="A222" s="86"/>
      <c r="B222" s="71" t="s">
        <v>192</v>
      </c>
      <c r="C222" s="87"/>
      <c r="D222" s="72">
        <f t="shared" si="17"/>
        <v>44098</v>
      </c>
      <c r="E222" s="72">
        <f>50+900+1584</f>
        <v>2534</v>
      </c>
      <c r="F222" s="72">
        <f>409</f>
        <v>409</v>
      </c>
      <c r="G222" s="72"/>
      <c r="H222" s="84">
        <f>'4.pielikums'!B219</f>
        <v>47041</v>
      </c>
    </row>
    <row r="223" spans="1:8" ht="15" customHeight="1">
      <c r="A223" s="86"/>
      <c r="B223" s="74" t="s">
        <v>33</v>
      </c>
      <c r="C223" s="88"/>
      <c r="D223" s="72">
        <f t="shared" si="17"/>
        <v>43673</v>
      </c>
      <c r="E223" s="72">
        <f>400</f>
        <v>400</v>
      </c>
      <c r="F223" s="72">
        <f>1227</f>
        <v>1227</v>
      </c>
      <c r="G223" s="72"/>
      <c r="H223" s="84">
        <f>'4.pielikums'!B221</f>
        <v>45300</v>
      </c>
    </row>
    <row r="224" spans="1:8" ht="15" customHeight="1">
      <c r="A224" s="86"/>
      <c r="B224" s="71" t="s">
        <v>34</v>
      </c>
      <c r="C224" s="87"/>
      <c r="D224" s="72">
        <f t="shared" si="17"/>
        <v>29792</v>
      </c>
      <c r="E224" s="72">
        <f>100+100</f>
        <v>200</v>
      </c>
      <c r="F224" s="72"/>
      <c r="G224" s="72"/>
      <c r="H224" s="84">
        <f>'4.pielikums'!B222</f>
        <v>29992</v>
      </c>
    </row>
    <row r="225" spans="1:8" ht="15" customHeight="1">
      <c r="A225" s="86"/>
      <c r="B225" s="71" t="s">
        <v>619</v>
      </c>
      <c r="C225" s="87"/>
      <c r="D225" s="72">
        <f t="shared" si="17"/>
        <v>56917</v>
      </c>
      <c r="E225" s="72">
        <f>350+2467</f>
        <v>2817</v>
      </c>
      <c r="F225" s="72"/>
      <c r="G225" s="72"/>
      <c r="H225" s="84">
        <f>'4.pielikums'!B223</f>
        <v>59734</v>
      </c>
    </row>
    <row r="226" spans="1:8" ht="15" customHeight="1">
      <c r="A226" s="86"/>
      <c r="B226" s="74" t="s">
        <v>608</v>
      </c>
      <c r="C226" s="88"/>
      <c r="D226" s="72">
        <f t="shared" si="17"/>
        <v>44004</v>
      </c>
      <c r="E226" s="72">
        <f>100+4350+3883</f>
        <v>8333</v>
      </c>
      <c r="F226" s="72">
        <v>409</v>
      </c>
      <c r="G226" s="72"/>
      <c r="H226" s="84">
        <f>'4.pielikums'!B224</f>
        <v>52746</v>
      </c>
    </row>
    <row r="227" spans="1:8" ht="15" customHeight="1">
      <c r="A227" s="86"/>
      <c r="B227" s="71" t="s">
        <v>191</v>
      </c>
      <c r="C227" s="87"/>
      <c r="D227" s="72">
        <f t="shared" si="17"/>
        <v>13032</v>
      </c>
      <c r="E227" s="72">
        <f>50+150</f>
        <v>200</v>
      </c>
      <c r="F227" s="72"/>
      <c r="G227" s="72"/>
      <c r="H227" s="84">
        <f>'4.pielikums'!B226</f>
        <v>13232</v>
      </c>
    </row>
    <row r="228" spans="1:8" ht="15" customHeight="1">
      <c r="A228" s="86"/>
      <c r="B228" s="89" t="s">
        <v>147</v>
      </c>
      <c r="C228" s="88"/>
      <c r="D228" s="72">
        <f t="shared" si="17"/>
        <v>35879</v>
      </c>
      <c r="E228" s="72">
        <f>100+6200</f>
        <v>6300</v>
      </c>
      <c r="F228" s="72">
        <f>818</f>
        <v>818</v>
      </c>
      <c r="G228" s="72"/>
      <c r="H228" s="84">
        <f>'4.pielikums'!B227</f>
        <v>42997</v>
      </c>
    </row>
    <row r="229" spans="1:8" ht="15" customHeight="1">
      <c r="A229" s="86"/>
      <c r="B229" s="71" t="s">
        <v>198</v>
      </c>
      <c r="C229" s="87"/>
      <c r="D229" s="72">
        <f t="shared" si="17"/>
        <v>25006</v>
      </c>
      <c r="E229" s="72">
        <f>140+250</f>
        <v>390</v>
      </c>
      <c r="F229" s="72"/>
      <c r="G229" s="72"/>
      <c r="H229" s="84">
        <f>'4.pielikums'!B228</f>
        <v>25396</v>
      </c>
    </row>
    <row r="230" spans="1:8" ht="15" customHeight="1">
      <c r="A230" s="86"/>
      <c r="B230" s="71" t="s">
        <v>189</v>
      </c>
      <c r="C230" s="87"/>
      <c r="D230" s="72">
        <f t="shared" si="17"/>
        <v>18945</v>
      </c>
      <c r="E230" s="72">
        <f>30</f>
        <v>30</v>
      </c>
      <c r="F230" s="72"/>
      <c r="G230" s="72"/>
      <c r="H230" s="84">
        <f>'4.pielikums'!B229</f>
        <v>18975</v>
      </c>
    </row>
    <row r="231" spans="1:8" ht="15" customHeight="1">
      <c r="A231" s="86"/>
      <c r="B231" s="74" t="s">
        <v>607</v>
      </c>
      <c r="C231" s="88"/>
      <c r="D231" s="72">
        <f t="shared" si="17"/>
        <v>56175</v>
      </c>
      <c r="E231" s="72">
        <f>5500</f>
        <v>5500</v>
      </c>
      <c r="F231" s="72">
        <f>3272</f>
        <v>3272</v>
      </c>
      <c r="G231" s="72"/>
      <c r="H231" s="84">
        <f>'4.pielikums'!B230</f>
        <v>64947</v>
      </c>
    </row>
    <row r="232" spans="1:8" ht="15" customHeight="1">
      <c r="A232" s="86"/>
      <c r="B232" s="71" t="s">
        <v>618</v>
      </c>
      <c r="C232" s="87"/>
      <c r="D232" s="72">
        <f t="shared" si="17"/>
        <v>47116</v>
      </c>
      <c r="E232" s="72">
        <f>150+2260</f>
        <v>2410</v>
      </c>
      <c r="F232" s="72">
        <f>1227</f>
        <v>1227</v>
      </c>
      <c r="G232" s="72"/>
      <c r="H232" s="84">
        <f>'4.pielikums'!B231</f>
        <v>50753</v>
      </c>
    </row>
    <row r="233" spans="1:8" ht="15" customHeight="1">
      <c r="A233" s="86"/>
      <c r="B233" s="76" t="s">
        <v>200</v>
      </c>
      <c r="C233" s="88"/>
      <c r="D233" s="72">
        <f t="shared" si="17"/>
        <v>34175</v>
      </c>
      <c r="E233" s="72">
        <f>160+765</f>
        <v>925</v>
      </c>
      <c r="F233" s="72">
        <f>409</f>
        <v>409</v>
      </c>
      <c r="G233" s="72"/>
      <c r="H233" s="84">
        <f>'4.pielikums'!B232</f>
        <v>35509</v>
      </c>
    </row>
    <row r="234" spans="1:8" ht="15" customHeight="1">
      <c r="A234" s="86"/>
      <c r="B234" s="71" t="s">
        <v>35</v>
      </c>
      <c r="C234" s="87"/>
      <c r="D234" s="72">
        <f t="shared" si="17"/>
        <v>27927</v>
      </c>
      <c r="E234" s="72">
        <f>100+800</f>
        <v>900</v>
      </c>
      <c r="F234" s="72">
        <f>1227</f>
        <v>1227</v>
      </c>
      <c r="G234" s="72"/>
      <c r="H234" s="84">
        <f>'4.pielikums'!B233</f>
        <v>30054</v>
      </c>
    </row>
    <row r="235" spans="1:8" ht="15" customHeight="1">
      <c r="A235" s="86"/>
      <c r="B235" s="89" t="s">
        <v>617</v>
      </c>
      <c r="C235" s="88"/>
      <c r="D235" s="72">
        <f t="shared" si="17"/>
        <v>97552</v>
      </c>
      <c r="E235" s="72">
        <f>400+11950</f>
        <v>12350</v>
      </c>
      <c r="F235" s="72">
        <f>2863</f>
        <v>2863</v>
      </c>
      <c r="G235" s="72"/>
      <c r="H235" s="84">
        <f>'4.pielikums'!B234</f>
        <v>112765</v>
      </c>
    </row>
    <row r="236" spans="1:8" ht="15" customHeight="1">
      <c r="A236" s="86"/>
      <c r="B236" s="89" t="s">
        <v>616</v>
      </c>
      <c r="C236" s="88"/>
      <c r="D236" s="72">
        <f t="shared" si="17"/>
        <v>40004</v>
      </c>
      <c r="E236" s="72">
        <f>70+1100</f>
        <v>1170</v>
      </c>
      <c r="F236" s="72">
        <f>818</f>
        <v>818</v>
      </c>
      <c r="G236" s="72"/>
      <c r="H236" s="84">
        <f>'4.pielikums'!B235</f>
        <v>41992</v>
      </c>
    </row>
    <row r="237" spans="1:8" ht="30" customHeight="1">
      <c r="A237" s="86"/>
      <c r="B237" s="89" t="s">
        <v>148</v>
      </c>
      <c r="C237" s="88"/>
      <c r="D237" s="72">
        <f t="shared" si="17"/>
        <v>21914</v>
      </c>
      <c r="E237" s="72">
        <f>200+500</f>
        <v>700</v>
      </c>
      <c r="F237" s="72">
        <f>1227</f>
        <v>1227</v>
      </c>
      <c r="G237" s="72"/>
      <c r="H237" s="84">
        <f>'4.pielikums'!B236</f>
        <v>23841</v>
      </c>
    </row>
    <row r="238" spans="1:8" ht="30" customHeight="1">
      <c r="A238" s="86"/>
      <c r="B238" s="89" t="s">
        <v>304</v>
      </c>
      <c r="C238" s="88"/>
      <c r="D238" s="72">
        <f>H238-E238-G238-F238-C238</f>
        <v>64129</v>
      </c>
      <c r="E238" s="72">
        <f>1700+1900</f>
        <v>3600</v>
      </c>
      <c r="F238" s="72">
        <f>1227</f>
        <v>1227</v>
      </c>
      <c r="G238" s="72"/>
      <c r="H238" s="84">
        <f>'4.pielikums'!B237</f>
        <v>68956</v>
      </c>
    </row>
    <row r="239" spans="1:8" ht="15" customHeight="1">
      <c r="A239" s="11" t="s">
        <v>306</v>
      </c>
      <c r="B239" s="75" t="s">
        <v>307</v>
      </c>
      <c r="C239" s="91">
        <f t="shared" si="21" ref="C239:H239">=SUM(C240:C257)</f>
        <v>516382</v>
      </c>
      <c r="D239" s="91">
        <f t="shared" si="21"/>
        <v>483454</v>
      </c>
      <c r="E239" s="91">
        <f t="shared" si="21"/>
        <v>21650</v>
      </c>
      <c r="F239" s="91">
        <f t="shared" si="21"/>
        <v>292731</v>
      </c>
      <c r="G239" s="91">
        <f t="shared" si="21"/>
        <v>986539</v>
      </c>
      <c r="H239" s="84">
        <f t="shared" si="21"/>
        <v>2300756</v>
      </c>
    </row>
    <row r="240" spans="1:8" ht="15" customHeight="1">
      <c r="A240" s="86"/>
      <c r="B240" s="74" t="s">
        <v>169</v>
      </c>
      <c r="C240" s="88"/>
      <c r="D240" s="72">
        <f t="shared" si="17"/>
        <v>64786</v>
      </c>
      <c r="E240" s="72"/>
      <c r="F240" s="72"/>
      <c r="G240" s="72"/>
      <c r="H240" s="84">
        <f>'4.pielikums'!B240</f>
        <v>64786</v>
      </c>
    </row>
    <row r="241" spans="1:8" ht="15" customHeight="1">
      <c r="A241" s="86"/>
      <c r="B241" s="74" t="s">
        <v>170</v>
      </c>
      <c r="C241" s="88"/>
      <c r="D241" s="72">
        <f t="shared" si="17"/>
        <v>60380</v>
      </c>
      <c r="E241" s="72">
        <v>9000</v>
      </c>
      <c r="F241" s="72"/>
      <c r="G241" s="72"/>
      <c r="H241" s="84">
        <f>'4.pielikums'!B241</f>
        <v>69380</v>
      </c>
    </row>
    <row r="242" spans="1:8" ht="15" customHeight="1">
      <c r="A242" s="86"/>
      <c r="B242" s="74" t="s">
        <v>240</v>
      </c>
      <c r="C242" s="88"/>
      <c r="D242" s="72">
        <f t="shared" si="17"/>
        <v>53769</v>
      </c>
      <c r="E242" s="72"/>
      <c r="F242" s="72"/>
      <c r="G242" s="72"/>
      <c r="H242" s="84">
        <f>'4.pielikums'!B242</f>
        <v>53769</v>
      </c>
    </row>
    <row r="243" spans="1:8" ht="30" customHeight="1">
      <c r="A243" s="86"/>
      <c r="B243" s="74" t="s">
        <v>642</v>
      </c>
      <c r="C243" s="88"/>
      <c r="D243" s="72">
        <f t="shared" si="17"/>
        <v>99418</v>
      </c>
      <c r="E243" s="72"/>
      <c r="F243" s="72">
        <v>67306</v>
      </c>
      <c r="G243" s="72"/>
      <c r="H243" s="84">
        <f>'4.pielikums'!B243</f>
        <v>166724</v>
      </c>
    </row>
    <row r="244" spans="1:8" ht="15" customHeight="1">
      <c r="A244" s="86"/>
      <c r="B244" s="74" t="s">
        <v>657</v>
      </c>
      <c r="C244" s="88"/>
      <c r="D244" s="72">
        <f t="shared" si="17"/>
        <v>2300</v>
      </c>
      <c r="E244" s="72"/>
      <c r="F244" s="72"/>
      <c r="G244" s="72"/>
      <c r="H244" s="84">
        <f>'4.pielikums'!B245</f>
        <v>2300</v>
      </c>
    </row>
    <row r="245" spans="1:8" ht="30" customHeight="1">
      <c r="A245" s="86"/>
      <c r="B245" s="76" t="s">
        <v>36</v>
      </c>
      <c r="C245" s="88"/>
      <c r="D245" s="72">
        <f t="shared" si="17"/>
        <v>69309</v>
      </c>
      <c r="E245" s="72"/>
      <c r="F245" s="72"/>
      <c r="G245" s="72"/>
      <c r="H245" s="84">
        <f>'4.pielikums'!B248</f>
        <v>69309</v>
      </c>
    </row>
    <row r="246" spans="1:8" ht="30" customHeight="1">
      <c r="A246" s="11"/>
      <c r="B246" s="76" t="s">
        <v>231</v>
      </c>
      <c r="C246" s="88"/>
      <c r="D246" s="72">
        <f t="shared" si="17"/>
        <v>77543</v>
      </c>
      <c r="E246" s="72"/>
      <c r="F246" s="72"/>
      <c r="G246" s="72">
        <v>439406</v>
      </c>
      <c r="H246" s="84">
        <f>'4.pielikums'!B364</f>
        <v>516949</v>
      </c>
    </row>
    <row r="247" spans="1:8" ht="30" customHeight="1">
      <c r="A247" s="11"/>
      <c r="B247" s="76" t="s">
        <v>229</v>
      </c>
      <c r="C247" s="88">
        <v>166939</v>
      </c>
      <c r="D247" s="72">
        <f t="shared" si="17"/>
        <v>0</v>
      </c>
      <c r="E247" s="72"/>
      <c r="F247" s="72">
        <v>68552</v>
      </c>
      <c r="G247" s="72">
        <v>265281</v>
      </c>
      <c r="H247" s="84">
        <f>'4.pielikums'!B379</f>
        <v>500772</v>
      </c>
    </row>
    <row r="248" spans="1:8" ht="47.1" customHeight="1">
      <c r="A248" s="11"/>
      <c r="B248" s="76" t="s">
        <v>609</v>
      </c>
      <c r="C248" s="88">
        <v>349443</v>
      </c>
      <c r="D248" s="72">
        <f t="shared" si="17"/>
        <v>0</v>
      </c>
      <c r="E248" s="72"/>
      <c r="F248" s="72">
        <v>142073</v>
      </c>
      <c r="G248" s="72">
        <f>242228+39624</f>
        <v>281852</v>
      </c>
      <c r="H248" s="84">
        <f>'4.pielikums'!B381</f>
        <v>773368</v>
      </c>
    </row>
    <row r="249" spans="1:8" ht="30" customHeight="1">
      <c r="A249" s="11"/>
      <c r="B249" s="76" t="s">
        <v>639</v>
      </c>
      <c r="C249" s="88"/>
      <c r="D249" s="72">
        <f t="shared" si="17"/>
        <v>8010</v>
      </c>
      <c r="E249" s="72">
        <v>4500</v>
      </c>
      <c r="F249" s="72"/>
      <c r="G249" s="72"/>
      <c r="H249" s="84">
        <f>'4.pielikums'!B369</f>
        <v>12510</v>
      </c>
    </row>
    <row r="250" spans="1:8" ht="30" customHeight="1">
      <c r="A250" s="11"/>
      <c r="B250" s="76" t="s">
        <v>671</v>
      </c>
      <c r="C250" s="88"/>
      <c r="D250" s="72">
        <f t="shared" si="17"/>
        <v>0</v>
      </c>
      <c r="E250" s="72">
        <v>5000</v>
      </c>
      <c r="F250" s="72"/>
      <c r="G250" s="72"/>
      <c r="H250" s="84">
        <f>'4.pielikums'!B382</f>
        <v>5000</v>
      </c>
    </row>
    <row r="251" spans="1:8" ht="24.75" customHeight="1">
      <c r="A251" s="11"/>
      <c r="B251" s="76" t="s">
        <v>672</v>
      </c>
      <c r="C251" s="88"/>
      <c r="D251" s="72">
        <f t="shared" si="17"/>
        <v>0</v>
      </c>
      <c r="E251" s="72">
        <v>1000</v>
      </c>
      <c r="F251" s="72"/>
      <c r="G251" s="72"/>
      <c r="H251" s="84">
        <f>'4.pielikums'!B385</f>
        <v>1000</v>
      </c>
    </row>
    <row r="252" spans="1:8" ht="30" customHeight="1">
      <c r="A252" s="11"/>
      <c r="B252" s="76" t="s">
        <v>674</v>
      </c>
      <c r="C252" s="88"/>
      <c r="D252" s="72">
        <f t="shared" si="17"/>
        <v>0</v>
      </c>
      <c r="E252" s="72">
        <v>600</v>
      </c>
      <c r="F252" s="72"/>
      <c r="G252" s="72"/>
      <c r="H252" s="84">
        <f>'4.pielikums'!B384</f>
        <v>600</v>
      </c>
    </row>
    <row r="253" spans="1:8" ht="52.5" customHeight="1">
      <c r="A253" s="11"/>
      <c r="B253" s="76" t="s">
        <v>673</v>
      </c>
      <c r="C253" s="88"/>
      <c r="D253" s="72">
        <f t="shared" si="17"/>
        <v>0</v>
      </c>
      <c r="E253" s="72">
        <v>1550</v>
      </c>
      <c r="F253" s="72"/>
      <c r="G253" s="72"/>
      <c r="H253" s="84">
        <f>'4.pielikums'!B383</f>
        <v>1550</v>
      </c>
    </row>
    <row r="254" spans="1:8" ht="45" customHeight="1">
      <c r="A254" s="11"/>
      <c r="B254" s="76" t="s">
        <v>308</v>
      </c>
      <c r="C254" s="88"/>
      <c r="D254" s="72">
        <f t="shared" si="17"/>
        <v>43230</v>
      </c>
      <c r="E254" s="72"/>
      <c r="F254" s="72"/>
      <c r="G254" s="72"/>
      <c r="H254" s="84">
        <f>'4.pielikums'!B371</f>
        <v>43230</v>
      </c>
    </row>
    <row r="255" spans="1:8" ht="45" customHeight="1">
      <c r="A255" s="86"/>
      <c r="B255" s="89" t="s">
        <v>623</v>
      </c>
      <c r="C255" s="88"/>
      <c r="D255" s="72">
        <f t="shared" si="17"/>
        <v>4709</v>
      </c>
      <c r="E255" s="72"/>
      <c r="F255" s="72"/>
      <c r="G255" s="72"/>
      <c r="H255" s="84">
        <f>'4.pielikums'!B247</f>
        <v>4709</v>
      </c>
    </row>
    <row r="256" spans="1:8" ht="30" customHeight="1">
      <c r="A256" s="86"/>
      <c r="B256" s="89" t="s">
        <v>640</v>
      </c>
      <c r="C256" s="88"/>
      <c r="D256" s="72">
        <f t="shared" si="17"/>
        <v>0</v>
      </c>
      <c r="E256" s="72"/>
      <c r="F256" s="72">
        <v>800</v>
      </c>
      <c r="G256" s="72"/>
      <c r="H256" s="84">
        <f>'4.pielikums'!B373</f>
        <v>800</v>
      </c>
    </row>
    <row r="257" spans="1:8" ht="47.1" customHeight="1">
      <c r="A257" s="11"/>
      <c r="B257" s="76" t="s">
        <v>624</v>
      </c>
      <c r="C257" s="88"/>
      <c r="D257" s="72">
        <f t="shared" si="17"/>
        <v>0</v>
      </c>
      <c r="E257" s="72"/>
      <c r="F257" s="72">
        <v>14000</v>
      </c>
      <c r="G257" s="72"/>
      <c r="H257" s="84">
        <f>'4.pielikums'!B372</f>
        <v>14000</v>
      </c>
    </row>
    <row r="258" spans="1:8" ht="15" customHeight="1">
      <c r="A258" s="11" t="s">
        <v>309</v>
      </c>
      <c r="B258" s="67" t="s">
        <v>310</v>
      </c>
      <c r="C258" s="68">
        <f t="shared" si="22" ref="C258:H258">=C259+C267+C278+C286+C294+C296</f>
        <v>151400</v>
      </c>
      <c r="D258" s="68">
        <f t="shared" si="22"/>
        <v>4965891</v>
      </c>
      <c r="E258" s="68">
        <f t="shared" si="22"/>
        <v>373387</v>
      </c>
      <c r="F258" s="68">
        <f t="shared" si="22"/>
        <v>9906771</v>
      </c>
      <c r="G258" s="68">
        <f t="shared" si="22"/>
        <v>923934</v>
      </c>
      <c r="H258" s="84">
        <f t="shared" si="22"/>
        <v>16321383</v>
      </c>
    </row>
    <row r="259" spans="1:8" ht="15" customHeight="1">
      <c r="A259" s="11"/>
      <c r="B259" s="67" t="s">
        <v>311</v>
      </c>
      <c r="C259" s="68">
        <f t="shared" si="23" ref="C259:H259">=SUM(C260:C265)</f>
        <v>0</v>
      </c>
      <c r="D259" s="68">
        <f t="shared" si="23"/>
        <v>1596473</v>
      </c>
      <c r="E259" s="68">
        <f t="shared" si="23"/>
        <v>99926</v>
      </c>
      <c r="F259" s="68">
        <f t="shared" si="23"/>
        <v>438204</v>
      </c>
      <c r="G259" s="68">
        <f t="shared" si="23"/>
        <v>0</v>
      </c>
      <c r="H259" s="84">
        <f t="shared" si="23"/>
        <v>2134603</v>
      </c>
    </row>
    <row r="260" spans="1:8" ht="15" customHeight="1">
      <c r="A260" s="86"/>
      <c r="B260" s="71" t="s">
        <v>37</v>
      </c>
      <c r="C260" s="87"/>
      <c r="D260" s="72">
        <f>H260-E260-G260-F260-C260</f>
        <v>551497</v>
      </c>
      <c r="E260" s="72">
        <f>39000+2200</f>
        <v>41200</v>
      </c>
      <c r="F260" s="72">
        <f>143656+6896+90240</f>
        <v>240792</v>
      </c>
      <c r="G260" s="72"/>
      <c r="H260" s="84">
        <f>'4.pielikums'!B249</f>
        <v>833489</v>
      </c>
    </row>
    <row r="261" spans="1:8" ht="15" customHeight="1">
      <c r="A261" s="86"/>
      <c r="B261" s="71" t="s">
        <v>38</v>
      </c>
      <c r="C261" s="87"/>
      <c r="D261" s="72">
        <f t="shared" si="24" ref="D261:D265">=H261-E261-G261-F261-C261</f>
        <v>389876</v>
      </c>
      <c r="E261" s="72">
        <f>25610+4500</f>
        <v>30110</v>
      </c>
      <c r="F261" s="72">
        <f>52608+33176</f>
        <v>85784</v>
      </c>
      <c r="G261" s="72"/>
      <c r="H261" s="84">
        <f>'4.pielikums'!B251</f>
        <v>505770</v>
      </c>
    </row>
    <row r="262" spans="1:8" ht="15" customHeight="1">
      <c r="A262" s="86"/>
      <c r="B262" s="71" t="s">
        <v>39</v>
      </c>
      <c r="C262" s="87"/>
      <c r="D262" s="72">
        <f t="shared" si="24"/>
        <v>84910</v>
      </c>
      <c r="E262" s="72">
        <f>1420+1900</f>
        <v>3320</v>
      </c>
      <c r="F262" s="72">
        <f>9256+5004</f>
        <v>14260</v>
      </c>
      <c r="G262" s="72"/>
      <c r="H262" s="84">
        <f>'4.pielikums'!B253</f>
        <v>102490</v>
      </c>
    </row>
    <row r="263" spans="1:8" ht="20.25" customHeight="1">
      <c r="A263" s="86"/>
      <c r="B263" s="71" t="s">
        <v>40</v>
      </c>
      <c r="C263" s="87"/>
      <c r="D263" s="72">
        <f t="shared" si="24"/>
        <v>251883</v>
      </c>
      <c r="E263" s="72">
        <f>12551+1875</f>
        <v>14426</v>
      </c>
      <c r="F263" s="72">
        <f>27328+14872</f>
        <v>42200</v>
      </c>
      <c r="G263" s="72"/>
      <c r="H263" s="84">
        <f>'4.pielikums'!B255</f>
        <v>308509</v>
      </c>
    </row>
    <row r="264" spans="1:8" ht="30.75" customHeight="1">
      <c r="A264" s="86"/>
      <c r="B264" s="89" t="s">
        <v>154</v>
      </c>
      <c r="C264" s="88"/>
      <c r="D264" s="72">
        <f t="shared" si="24"/>
        <v>181220</v>
      </c>
      <c r="E264" s="72">
        <f>5030+1440</f>
        <v>6470</v>
      </c>
      <c r="F264" s="72">
        <f>20904+16868</f>
        <v>37772</v>
      </c>
      <c r="G264" s="72"/>
      <c r="H264" s="84">
        <f>'4.pielikums'!B257</f>
        <v>225462</v>
      </c>
    </row>
    <row r="265" spans="1:8" ht="31.5">
      <c r="A265" s="86"/>
      <c r="B265" s="89" t="s">
        <v>155</v>
      </c>
      <c r="C265" s="88"/>
      <c r="D265" s="72">
        <f t="shared" si="24"/>
        <v>137087</v>
      </c>
      <c r="E265" s="72">
        <f>3850+550</f>
        <v>4400</v>
      </c>
      <c r="F265" s="72">
        <f>8816+1716+6864</f>
        <v>17396</v>
      </c>
      <c r="G265" s="72"/>
      <c r="H265" s="84">
        <f>'4.pielikums'!B259</f>
        <v>158883</v>
      </c>
    </row>
    <row r="266" spans="1:8" ht="15" customHeight="1">
      <c r="A266" s="11"/>
      <c r="B266" s="99" t="s">
        <v>312</v>
      </c>
      <c r="C266" s="83"/>
      <c r="D266" s="72"/>
      <c r="E266" s="72"/>
      <c r="F266" s="72"/>
      <c r="G266" s="72"/>
      <c r="H266" s="84"/>
    </row>
    <row r="267" spans="1:8" ht="15" customHeight="1">
      <c r="A267" s="11"/>
      <c r="B267" s="67" t="s">
        <v>313</v>
      </c>
      <c r="C267" s="68">
        <f t="shared" si="25" ref="C267:H267">=SUM(C268:C277)</f>
        <v>0</v>
      </c>
      <c r="D267" s="68">
        <f t="shared" si="25"/>
        <v>-889102</v>
      </c>
      <c r="E267" s="68">
        <f t="shared" si="25"/>
        <v>60950</v>
      </c>
      <c r="F267" s="68">
        <f t="shared" si="25"/>
        <v>5302889</v>
      </c>
      <c r="G267" s="68">
        <f t="shared" si="25"/>
        <v>0</v>
      </c>
      <c r="H267" s="84">
        <f t="shared" si="25"/>
        <v>4474737</v>
      </c>
    </row>
    <row r="268" spans="1:8" ht="15" customHeight="1">
      <c r="A268" s="86"/>
      <c r="B268" s="71" t="s">
        <v>78</v>
      </c>
      <c r="C268" s="87"/>
      <c r="D268" s="72">
        <f t="shared" si="26" ref="D268:D337">=H268-E268-G268-F268-C268</f>
        <v>364973</v>
      </c>
      <c r="E268" s="72">
        <f>1332+6047</f>
        <v>7379</v>
      </c>
      <c r="F268" s="72">
        <f>547688+12888+53949+293520+7756+11477</f>
        <v>927278</v>
      </c>
      <c r="G268" s="72"/>
      <c r="H268" s="84">
        <f>'4.pielikums'!B261</f>
        <v>1299630</v>
      </c>
    </row>
    <row r="269" spans="1:8" ht="17.25" customHeight="1">
      <c r="A269" s="86"/>
      <c r="B269" s="71" t="s">
        <v>163</v>
      </c>
      <c r="C269" s="87"/>
      <c r="D269" s="72">
        <f t="shared" si="26"/>
        <v>323915</v>
      </c>
      <c r="E269" s="72">
        <f>43+9100+2125+1600</f>
        <v>12868</v>
      </c>
      <c r="F269" s="72">
        <f>78600+6104+11736+2693+46380+2716+6864+1014</f>
        <v>156107</v>
      </c>
      <c r="G269" s="72"/>
      <c r="H269" s="84">
        <f>'4.pielikums'!B263</f>
        <v>492890</v>
      </c>
    </row>
    <row r="270" spans="1:8" ht="29.25" customHeight="1">
      <c r="A270" s="86"/>
      <c r="B270" s="74" t="s">
        <v>314</v>
      </c>
      <c r="C270" s="88"/>
      <c r="D270" s="72">
        <f t="shared" si="26"/>
        <v>40424</v>
      </c>
      <c r="E270" s="72">
        <f>2296+80+500</f>
        <v>2876</v>
      </c>
      <c r="F270" s="72"/>
      <c r="G270" s="72"/>
      <c r="H270" s="84">
        <f>'4.pielikums'!B265</f>
        <v>43300</v>
      </c>
    </row>
    <row r="271" spans="1:8" ht="15" customHeight="1">
      <c r="A271" s="86"/>
      <c r="B271" s="71" t="s">
        <v>156</v>
      </c>
      <c r="C271" s="87"/>
      <c r="D271" s="72">
        <f t="shared" si="26"/>
        <v>199820</v>
      </c>
      <c r="E271" s="72">
        <f>4880+1175+1000</f>
        <v>7055</v>
      </c>
      <c r="F271" s="72">
        <f>195936+2712+10280+5019+55171+95984+968+4432+253</f>
        <v>370755</v>
      </c>
      <c r="G271" s="72"/>
      <c r="H271" s="84">
        <f>'4.pielikums'!B266</f>
        <v>577630</v>
      </c>
    </row>
    <row r="272" spans="1:8" ht="15" customHeight="1">
      <c r="A272" s="86"/>
      <c r="B272" s="71" t="s">
        <v>41</v>
      </c>
      <c r="C272" s="87"/>
      <c r="D272" s="72">
        <f>H272-E272-G272-F272-C272</f>
        <v>177828</v>
      </c>
      <c r="E272" s="72">
        <f>2574</f>
        <v>2574</v>
      </c>
      <c r="F272" s="72">
        <f>155368+3728+5189+84552+1940+437</f>
        <v>251214</v>
      </c>
      <c r="G272" s="72"/>
      <c r="H272" s="84">
        <f>'4.pielikums'!B268</f>
        <v>431616</v>
      </c>
    </row>
    <row r="273" spans="1:8" ht="15" customHeight="1">
      <c r="A273" s="86"/>
      <c r="B273" s="71" t="s">
        <v>225</v>
      </c>
      <c r="C273" s="87"/>
      <c r="D273" s="72">
        <f t="shared" si="26"/>
        <v>280605</v>
      </c>
      <c r="E273" s="72">
        <f>3000+1500+1688+6300</f>
        <v>12488</v>
      </c>
      <c r="F273" s="72">
        <f>293784+6104+10054+27585+5000+134404+4460+7436+1088</f>
        <v>489915</v>
      </c>
      <c r="G273" s="72"/>
      <c r="H273" s="84">
        <f>'4.pielikums'!B270</f>
        <v>783008</v>
      </c>
    </row>
    <row r="274" spans="1:8" ht="33.75" customHeight="1">
      <c r="A274" s="86"/>
      <c r="B274" s="74" t="s">
        <v>610</v>
      </c>
      <c r="C274" s="88"/>
      <c r="D274" s="72">
        <f t="shared" si="26"/>
        <v>127025</v>
      </c>
      <c r="E274" s="72">
        <f>6500+1456</f>
        <v>7956</v>
      </c>
      <c r="F274" s="72">
        <f>14016</f>
        <v>14016</v>
      </c>
      <c r="G274" s="72"/>
      <c r="H274" s="84">
        <f>'4.pielikums'!B272</f>
        <v>148997</v>
      </c>
    </row>
    <row r="275" spans="1:8" ht="33" customHeight="1">
      <c r="A275" s="86"/>
      <c r="B275" s="74" t="s">
        <v>226</v>
      </c>
      <c r="C275" s="88"/>
      <c r="D275" s="72">
        <f t="shared" si="26"/>
        <v>69764</v>
      </c>
      <c r="E275" s="72">
        <f>2819+500</f>
        <v>3319</v>
      </c>
      <c r="F275" s="72">
        <f>7512</f>
        <v>7512</v>
      </c>
      <c r="G275" s="72"/>
      <c r="H275" s="84">
        <f>'4.pielikums'!B273</f>
        <v>80595</v>
      </c>
    </row>
    <row r="276" spans="1:8" ht="15" customHeight="1">
      <c r="A276" s="86"/>
      <c r="B276" s="89" t="s">
        <v>152</v>
      </c>
      <c r="C276" s="88"/>
      <c r="D276" s="72">
        <f t="shared" si="26"/>
        <v>266437</v>
      </c>
      <c r="E276" s="72">
        <f>675+2500</f>
        <v>3175</v>
      </c>
      <c r="F276" s="72">
        <f>126288+5424+7368+3312+70112+2132+2288+636</f>
        <v>217560</v>
      </c>
      <c r="G276" s="72"/>
      <c r="H276" s="84">
        <f>'4.pielikums'!B275</f>
        <v>487172</v>
      </c>
    </row>
    <row r="277" spans="1:8" ht="15" customHeight="1">
      <c r="A277" s="11"/>
      <c r="B277" s="71" t="s">
        <v>254</v>
      </c>
      <c r="C277" s="87"/>
      <c r="D277" s="72">
        <f t="shared" si="26"/>
        <v>-2739893</v>
      </c>
      <c r="E277" s="72">
        <f>1150+110</f>
        <v>1260</v>
      </c>
      <c r="F277" s="72">
        <f>2868532</f>
        <v>2868532</v>
      </c>
      <c r="G277" s="72"/>
      <c r="H277" s="84">
        <f>'4.pielikums'!B277</f>
        <v>129899</v>
      </c>
    </row>
    <row r="278" spans="1:8" ht="15" customHeight="1">
      <c r="A278" s="86"/>
      <c r="B278" s="67" t="s">
        <v>315</v>
      </c>
      <c r="C278" s="68">
        <f t="shared" si="27" ref="C278:H278">=SUM(C279:C285)</f>
        <v>0</v>
      </c>
      <c r="D278" s="68">
        <f t="shared" si="27"/>
        <v>2285575</v>
      </c>
      <c r="E278" s="68">
        <f t="shared" si="27"/>
        <v>91718</v>
      </c>
      <c r="F278" s="68">
        <f t="shared" si="27"/>
        <v>2606053</v>
      </c>
      <c r="G278" s="68">
        <f t="shared" si="27"/>
        <v>0</v>
      </c>
      <c r="H278" s="84">
        <f t="shared" si="27"/>
        <v>4983346</v>
      </c>
    </row>
    <row r="279" spans="1:8" ht="15" customHeight="1">
      <c r="A279" s="86"/>
      <c r="B279" s="71" t="s">
        <v>42</v>
      </c>
      <c r="C279" s="87"/>
      <c r="D279" s="72">
        <f t="shared" si="26"/>
        <v>419556</v>
      </c>
      <c r="E279" s="72">
        <f>15000+3000</f>
        <v>18000</v>
      </c>
      <c r="F279" s="72">
        <f>422144+5768+224788+4656</f>
        <v>657356</v>
      </c>
      <c r="G279" s="72"/>
      <c r="H279" s="84">
        <f>'4.pielikums'!B279</f>
        <v>1094912</v>
      </c>
    </row>
    <row r="280" spans="1:8" ht="18" customHeight="1">
      <c r="A280" s="86"/>
      <c r="B280" s="71" t="s">
        <v>666</v>
      </c>
      <c r="C280" s="87"/>
      <c r="D280" s="72">
        <f t="shared" si="26"/>
        <v>301430</v>
      </c>
      <c r="E280" s="72">
        <f>2000+3900+307</f>
        <v>6207</v>
      </c>
      <c r="F280" s="72">
        <f>218192+10848+8955+115432+4656+849</f>
        <v>358932</v>
      </c>
      <c r="G280" s="72"/>
      <c r="H280" s="84">
        <f>'4.pielikums'!B281</f>
        <v>666569</v>
      </c>
    </row>
    <row r="281" spans="1:8" ht="30.75" customHeight="1">
      <c r="A281" s="86"/>
      <c r="B281" s="74" t="s">
        <v>637</v>
      </c>
      <c r="C281" s="88"/>
      <c r="D281" s="72">
        <f t="shared" si="26"/>
        <v>415400</v>
      </c>
      <c r="E281" s="72">
        <f>5829+7000+950</f>
        <v>13779</v>
      </c>
      <c r="F281" s="72">
        <f>223224+152480+9152+124416+81064+4848</f>
        <v>595184</v>
      </c>
      <c r="G281" s="72"/>
      <c r="H281" s="84">
        <f>'4.pielikums'!B283</f>
        <v>1024363</v>
      </c>
    </row>
    <row r="282" spans="1:8" ht="45" customHeight="1">
      <c r="A282" s="86"/>
      <c r="B282" s="74" t="s">
        <v>638</v>
      </c>
      <c r="C282" s="88"/>
      <c r="D282" s="72">
        <f t="shared" si="26"/>
        <v>81842</v>
      </c>
      <c r="E282" s="72">
        <f>7000+13500</f>
        <v>20500</v>
      </c>
      <c r="F282" s="72">
        <f>13000</f>
        <v>13000</v>
      </c>
      <c r="G282" s="72"/>
      <c r="H282" s="84">
        <f>'4.pielikums'!B285</f>
        <v>115342</v>
      </c>
    </row>
    <row r="283" spans="1:8" ht="15" customHeight="1">
      <c r="A283" s="86"/>
      <c r="B283" s="74" t="s">
        <v>159</v>
      </c>
      <c r="C283" s="88"/>
      <c r="D283" s="72">
        <f t="shared" si="26"/>
        <v>336899</v>
      </c>
      <c r="E283" s="72">
        <f>4066+800</f>
        <v>4866</v>
      </c>
      <c r="F283" s="72">
        <f>153136+5760+14640+7893+6896+75152+4460+12584+297</f>
        <v>280818</v>
      </c>
      <c r="G283" s="72"/>
      <c r="H283" s="84">
        <f>'4.pielikums'!B286</f>
        <v>622583</v>
      </c>
    </row>
    <row r="284" spans="1:8" ht="15" customHeight="1">
      <c r="A284" s="86"/>
      <c r="B284" s="74" t="s">
        <v>151</v>
      </c>
      <c r="C284" s="88"/>
      <c r="D284" s="72">
        <f t="shared" si="26"/>
        <v>341882</v>
      </c>
      <c r="E284" s="72">
        <f>4100+2201+1560+5440</f>
        <v>13301</v>
      </c>
      <c r="F284" s="72">
        <f>162264+7800+27656+6990+75588+3104+15812+1366</f>
        <v>300580</v>
      </c>
      <c r="G284" s="72"/>
      <c r="H284" s="84">
        <f>'4.pielikums'!B288</f>
        <v>655763</v>
      </c>
    </row>
    <row r="285" spans="1:8" ht="17.25" customHeight="1">
      <c r="A285" s="100"/>
      <c r="B285" s="74" t="s">
        <v>165</v>
      </c>
      <c r="C285" s="88"/>
      <c r="D285" s="72">
        <f t="shared" si="26"/>
        <v>388566</v>
      </c>
      <c r="E285" s="72">
        <f>4255+1000+1660+2250+5900</f>
        <v>15065</v>
      </c>
      <c r="F285" s="72">
        <f>226912+6800+25168+7871+108004+4072+19448+1908</f>
        <v>400183</v>
      </c>
      <c r="G285" s="72"/>
      <c r="H285" s="84">
        <f>'4.pielikums'!B290</f>
        <v>803814</v>
      </c>
    </row>
    <row r="286" spans="1:8" ht="15" customHeight="1">
      <c r="A286" s="86"/>
      <c r="B286" s="99" t="s">
        <v>316</v>
      </c>
      <c r="C286" s="68">
        <f t="shared" si="28" ref="C286:H286">=SUM(C287:C293)</f>
        <v>0</v>
      </c>
      <c r="D286" s="68">
        <f t="shared" si="28"/>
        <v>951767</v>
      </c>
      <c r="E286" s="68">
        <f t="shared" si="28"/>
        <v>114393</v>
      </c>
      <c r="F286" s="68">
        <f t="shared" si="28"/>
        <v>1035528</v>
      </c>
      <c r="G286" s="68">
        <f t="shared" si="28"/>
        <v>0</v>
      </c>
      <c r="H286" s="84">
        <f t="shared" si="28"/>
        <v>2101688</v>
      </c>
    </row>
    <row r="287" spans="1:8" ht="15" customHeight="1">
      <c r="A287" s="86"/>
      <c r="B287" s="71" t="s">
        <v>43</v>
      </c>
      <c r="C287" s="87"/>
      <c r="D287" s="72">
        <f t="shared" si="26"/>
        <v>139699</v>
      </c>
      <c r="E287" s="72">
        <f>420+11745+800</f>
        <v>12965</v>
      </c>
      <c r="F287" s="72">
        <f>4744+261825+2908+149286</f>
        <v>418763</v>
      </c>
      <c r="G287" s="72"/>
      <c r="H287" s="84">
        <f>'4.pielikums'!B292</f>
        <v>571427</v>
      </c>
    </row>
    <row r="288" spans="1:8" ht="15" customHeight="1">
      <c r="A288" s="86"/>
      <c r="B288" s="71" t="s">
        <v>44</v>
      </c>
      <c r="C288" s="87"/>
      <c r="D288" s="72">
        <f t="shared" si="26"/>
        <v>118788</v>
      </c>
      <c r="E288" s="72">
        <f>8268</f>
        <v>8268</v>
      </c>
      <c r="F288" s="72">
        <f>2032+32964+1164+18624</f>
        <v>54784</v>
      </c>
      <c r="G288" s="72"/>
      <c r="H288" s="84">
        <f>'4.pielikums'!B294</f>
        <v>181840</v>
      </c>
    </row>
    <row r="289" spans="1:8" ht="15" customHeight="1">
      <c r="A289" s="86"/>
      <c r="B289" s="76" t="s">
        <v>158</v>
      </c>
      <c r="C289" s="88"/>
      <c r="D289" s="72">
        <f t="shared" si="26"/>
        <v>90182</v>
      </c>
      <c r="E289" s="72">
        <f>1600+25</f>
        <v>1625</v>
      </c>
      <c r="F289" s="72">
        <f>1352+51696+196+29207</f>
        <v>82451</v>
      </c>
      <c r="G289" s="72"/>
      <c r="H289" s="84">
        <f>'4.pielikums'!B296</f>
        <v>174258</v>
      </c>
    </row>
    <row r="290" spans="1:8" ht="15" customHeight="1">
      <c r="A290" s="86"/>
      <c r="B290" s="89" t="s">
        <v>150</v>
      </c>
      <c r="C290" s="88"/>
      <c r="D290" s="72">
        <f t="shared" si="26"/>
        <v>35076</v>
      </c>
      <c r="E290" s="72">
        <f>4100+396</f>
        <v>4496</v>
      </c>
      <c r="F290" s="72">
        <f>1352+88217+776+46353</f>
        <v>136698</v>
      </c>
      <c r="G290" s="72"/>
      <c r="H290" s="84">
        <f>'4.pielikums'!B298</f>
        <v>176270</v>
      </c>
    </row>
    <row r="291" spans="1:8" ht="15" customHeight="1">
      <c r="A291" s="86"/>
      <c r="B291" s="71" t="s">
        <v>45</v>
      </c>
      <c r="C291" s="87"/>
      <c r="D291" s="72">
        <f t="shared" si="26"/>
        <v>244729</v>
      </c>
      <c r="E291" s="72">
        <f>250+650+300</f>
        <v>1200</v>
      </c>
      <c r="F291" s="72">
        <f>2984+277541+3520+12335</f>
        <v>296380</v>
      </c>
      <c r="G291" s="72"/>
      <c r="H291" s="84">
        <f>'4.pielikums'!B300</f>
        <v>542309</v>
      </c>
    </row>
    <row r="292" spans="1:8" ht="15" customHeight="1">
      <c r="A292" s="86"/>
      <c r="B292" s="71" t="s">
        <v>317</v>
      </c>
      <c r="C292" s="87"/>
      <c r="D292" s="72">
        <f t="shared" si="26"/>
        <v>137478</v>
      </c>
      <c r="E292" s="72">
        <f>687+82800</f>
        <v>83487</v>
      </c>
      <c r="F292" s="72"/>
      <c r="G292" s="72"/>
      <c r="H292" s="84">
        <f>'4.pielikums'!B302</f>
        <v>220965</v>
      </c>
    </row>
    <row r="293" spans="1:8" ht="15" customHeight="1">
      <c r="A293" s="11"/>
      <c r="B293" s="71" t="s">
        <v>318</v>
      </c>
      <c r="C293" s="87"/>
      <c r="D293" s="72">
        <f t="shared" si="26"/>
        <v>185815</v>
      </c>
      <c r="E293" s="72">
        <f>1800+552</f>
        <v>2352</v>
      </c>
      <c r="F293" s="72">
        <f>30496+15956</f>
        <v>46452</v>
      </c>
      <c r="G293" s="72"/>
      <c r="H293" s="84">
        <f>'4.pielikums'!B303</f>
        <v>234619</v>
      </c>
    </row>
    <row r="294" spans="1:8" ht="15" customHeight="1">
      <c r="A294" s="95"/>
      <c r="B294" s="99" t="s">
        <v>319</v>
      </c>
      <c r="C294" s="68">
        <f t="shared" si="29" ref="C294:H294">=C295</f>
        <v>0</v>
      </c>
      <c r="D294" s="68">
        <f t="shared" si="29"/>
        <v>271060</v>
      </c>
      <c r="E294" s="68">
        <f t="shared" si="29"/>
        <v>0</v>
      </c>
      <c r="F294" s="68">
        <f t="shared" si="29"/>
        <v>0</v>
      </c>
      <c r="G294" s="68">
        <f t="shared" si="29"/>
        <v>0</v>
      </c>
      <c r="H294" s="84">
        <f t="shared" si="29"/>
        <v>271060</v>
      </c>
    </row>
    <row r="295" spans="1:8" ht="20.25" customHeight="1">
      <c r="A295" s="98"/>
      <c r="B295" s="76" t="s">
        <v>157</v>
      </c>
      <c r="C295" s="88"/>
      <c r="D295" s="72">
        <f t="shared" si="26"/>
        <v>271060</v>
      </c>
      <c r="E295" s="72"/>
      <c r="F295" s="72"/>
      <c r="G295" s="72"/>
      <c r="H295" s="84">
        <f>'4.pielikums'!B305</f>
        <v>271060</v>
      </c>
    </row>
    <row r="296" spans="1:8" ht="15" customHeight="1">
      <c r="A296" s="71"/>
      <c r="B296" s="99" t="s">
        <v>320</v>
      </c>
      <c r="C296" s="68">
        <f t="shared" si="30" ref="C296:G296">=SUM(C297:C332)</f>
        <v>151400</v>
      </c>
      <c r="D296" s="68">
        <f t="shared" si="30"/>
        <v>750118</v>
      </c>
      <c r="E296" s="68">
        <f t="shared" si="30"/>
        <v>6400</v>
      </c>
      <c r="F296" s="68">
        <f t="shared" si="30"/>
        <v>524097</v>
      </c>
      <c r="G296" s="68">
        <f t="shared" si="30"/>
        <v>923934</v>
      </c>
      <c r="H296" s="84">
        <f>SUM(H297:H332)</f>
        <v>2355949</v>
      </c>
    </row>
    <row r="297" spans="1:8" ht="15" customHeight="1">
      <c r="A297" s="86"/>
      <c r="B297" s="74" t="s">
        <v>168</v>
      </c>
      <c r="C297" s="88"/>
      <c r="D297" s="72">
        <f t="shared" si="26"/>
        <v>57449</v>
      </c>
      <c r="E297" s="72">
        <f>5000</f>
        <v>5000</v>
      </c>
      <c r="F297" s="72"/>
      <c r="G297" s="72"/>
      <c r="H297" s="84">
        <f>'4.pielikums'!B306</f>
        <v>62449</v>
      </c>
    </row>
    <row r="298" spans="1:8" ht="15" customHeight="1">
      <c r="A298" s="86"/>
      <c r="B298" s="71" t="s">
        <v>298</v>
      </c>
      <c r="C298" s="87"/>
      <c r="D298" s="72">
        <f t="shared" si="26"/>
        <v>12286</v>
      </c>
      <c r="E298" s="72"/>
      <c r="F298" s="72"/>
      <c r="G298" s="72"/>
      <c r="H298" s="84">
        <f>'4.pielikums'!B204</f>
        <v>12286</v>
      </c>
    </row>
    <row r="299" spans="1:8" ht="15" customHeight="1">
      <c r="A299" s="86"/>
      <c r="B299" s="89" t="s">
        <v>62</v>
      </c>
      <c r="C299" s="88"/>
      <c r="D299" s="72">
        <f t="shared" si="26"/>
        <v>928</v>
      </c>
      <c r="E299" s="72"/>
      <c r="F299" s="72">
        <f>11861+12789</f>
        <v>24650</v>
      </c>
      <c r="G299" s="72"/>
      <c r="H299" s="84">
        <f>'4.pielikums'!B307</f>
        <v>25578</v>
      </c>
    </row>
    <row r="300" spans="1:8" ht="19.5" customHeight="1">
      <c r="A300" s="86"/>
      <c r="B300" s="93" t="s">
        <v>202</v>
      </c>
      <c r="C300" s="88"/>
      <c r="D300" s="72">
        <f t="shared" si="26"/>
        <v>23294</v>
      </c>
      <c r="E300" s="72"/>
      <c r="F300" s="72"/>
      <c r="G300" s="72"/>
      <c r="H300" s="84">
        <f>'4.pielikums'!B309</f>
        <v>23294</v>
      </c>
    </row>
    <row r="301" spans="1:8" ht="15" customHeight="1">
      <c r="A301" s="71"/>
      <c r="B301" s="101" t="s">
        <v>187</v>
      </c>
      <c r="C301" s="88"/>
      <c r="D301" s="72">
        <f t="shared" si="26"/>
        <v>20596</v>
      </c>
      <c r="E301" s="72"/>
      <c r="F301" s="72"/>
      <c r="G301" s="72"/>
      <c r="H301" s="84">
        <f>'4.pielikums'!B310</f>
        <v>20596</v>
      </c>
    </row>
    <row r="302" spans="1:8" ht="15" customHeight="1">
      <c r="A302" s="71"/>
      <c r="B302" s="101" t="s">
        <v>188</v>
      </c>
      <c r="C302" s="88"/>
      <c r="D302" s="72">
        <f t="shared" si="26"/>
        <v>24098</v>
      </c>
      <c r="E302" s="72"/>
      <c r="F302" s="72"/>
      <c r="G302" s="72"/>
      <c r="H302" s="84">
        <f>'4.pielikums'!B311</f>
        <v>24098</v>
      </c>
    </row>
    <row r="303" spans="1:8" ht="15" customHeight="1">
      <c r="A303" s="71"/>
      <c r="B303" s="101" t="s">
        <v>184</v>
      </c>
      <c r="C303" s="88"/>
      <c r="D303" s="72">
        <f t="shared" si="26"/>
        <v>23863</v>
      </c>
      <c r="E303" s="72"/>
      <c r="F303" s="72"/>
      <c r="G303" s="72"/>
      <c r="H303" s="84">
        <f>'4.pielikums'!B312</f>
        <v>23863</v>
      </c>
    </row>
    <row r="304" spans="1:8" ht="15" customHeight="1">
      <c r="A304" s="71"/>
      <c r="B304" s="101" t="s">
        <v>205</v>
      </c>
      <c r="C304" s="88"/>
      <c r="D304" s="72">
        <f t="shared" si="26"/>
        <v>22060</v>
      </c>
      <c r="E304" s="72"/>
      <c r="F304" s="72"/>
      <c r="G304" s="72"/>
      <c r="H304" s="84">
        <f>'4.pielikums'!B313</f>
        <v>22060</v>
      </c>
    </row>
    <row r="305" spans="1:8" ht="15" customHeight="1">
      <c r="A305" s="71"/>
      <c r="B305" s="101" t="s">
        <v>186</v>
      </c>
      <c r="C305" s="88"/>
      <c r="D305" s="72">
        <f t="shared" si="26"/>
        <v>21883</v>
      </c>
      <c r="E305" s="72"/>
      <c r="F305" s="72"/>
      <c r="G305" s="72"/>
      <c r="H305" s="84">
        <f>'4.pielikums'!B314</f>
        <v>21883</v>
      </c>
    </row>
    <row r="306" spans="1:8" ht="15" customHeight="1">
      <c r="A306" s="71"/>
      <c r="B306" s="102" t="s">
        <v>194</v>
      </c>
      <c r="C306" s="88"/>
      <c r="D306" s="72">
        <f t="shared" si="26"/>
        <v>92220</v>
      </c>
      <c r="E306" s="72"/>
      <c r="F306" s="72"/>
      <c r="G306" s="72"/>
      <c r="H306" s="84">
        <f>'4.pielikums'!B315</f>
        <v>92220</v>
      </c>
    </row>
    <row r="307" spans="1:8" ht="15" customHeight="1">
      <c r="A307" s="71"/>
      <c r="B307" s="101" t="s">
        <v>604</v>
      </c>
      <c r="C307" s="88"/>
      <c r="D307" s="72">
        <f t="shared" si="26"/>
        <v>31814</v>
      </c>
      <c r="E307" s="72">
        <v>200</v>
      </c>
      <c r="F307" s="72"/>
      <c r="G307" s="72"/>
      <c r="H307" s="84">
        <f>'4.pielikums'!B316</f>
        <v>32014</v>
      </c>
    </row>
    <row r="308" spans="1:8" ht="15" customHeight="1">
      <c r="A308" s="71"/>
      <c r="B308" s="101" t="s">
        <v>149</v>
      </c>
      <c r="C308" s="88"/>
      <c r="D308" s="72">
        <f t="shared" si="26"/>
        <v>27161</v>
      </c>
      <c r="E308" s="72">
        <v>900</v>
      </c>
      <c r="F308" s="72"/>
      <c r="G308" s="72"/>
      <c r="H308" s="84">
        <f>'4.pielikums'!B317</f>
        <v>28061</v>
      </c>
    </row>
    <row r="309" spans="1:8" ht="15" customHeight="1">
      <c r="A309" s="71"/>
      <c r="B309" s="101" t="s">
        <v>207</v>
      </c>
      <c r="C309" s="88"/>
      <c r="D309" s="72">
        <f t="shared" si="26"/>
        <v>35185</v>
      </c>
      <c r="E309" s="72"/>
      <c r="F309" s="72"/>
      <c r="G309" s="72"/>
      <c r="H309" s="84">
        <f>'4.pielikums'!B318</f>
        <v>35185</v>
      </c>
    </row>
    <row r="310" spans="1:8" ht="15" customHeight="1">
      <c r="A310" s="71"/>
      <c r="B310" s="101" t="s">
        <v>201</v>
      </c>
      <c r="C310" s="88"/>
      <c r="D310" s="72">
        <f t="shared" si="26"/>
        <v>21535</v>
      </c>
      <c r="E310" s="72"/>
      <c r="F310" s="72"/>
      <c r="G310" s="72"/>
      <c r="H310" s="84">
        <f>'4.pielikums'!B319</f>
        <v>21535</v>
      </c>
    </row>
    <row r="311" spans="1:8" ht="15" customHeight="1">
      <c r="A311" s="71"/>
      <c r="B311" s="101" t="s">
        <v>203</v>
      </c>
      <c r="C311" s="88"/>
      <c r="D311" s="72">
        <f t="shared" si="26"/>
        <v>20130</v>
      </c>
      <c r="E311" s="72">
        <v>300</v>
      </c>
      <c r="F311" s="72"/>
      <c r="G311" s="72"/>
      <c r="H311" s="84">
        <f>'4.pielikums'!B320</f>
        <v>20430</v>
      </c>
    </row>
    <row r="312" spans="1:8" ht="15" customHeight="1">
      <c r="A312" s="71"/>
      <c r="B312" s="101" t="s">
        <v>193</v>
      </c>
      <c r="C312" s="88"/>
      <c r="D312" s="72">
        <f t="shared" si="26"/>
        <v>40624.000000000015</v>
      </c>
      <c r="E312" s="72"/>
      <c r="F312" s="72"/>
      <c r="G312" s="72">
        <f>141328/1.1</f>
        <v>128479.99999999999</v>
      </c>
      <c r="H312" s="84">
        <f>'4.pielikums'!B322</f>
        <v>169104</v>
      </c>
    </row>
    <row r="313" spans="1:8" ht="30" customHeight="1">
      <c r="A313" s="71"/>
      <c r="B313" s="74" t="s">
        <v>46</v>
      </c>
      <c r="C313" s="88"/>
      <c r="D313" s="72">
        <f t="shared" si="26"/>
        <v>8000</v>
      </c>
      <c r="E313" s="72"/>
      <c r="F313" s="72"/>
      <c r="G313" s="72"/>
      <c r="H313" s="84">
        <f>'4.pielikums'!B323</f>
        <v>8000</v>
      </c>
    </row>
    <row r="314" spans="1:8" ht="30" customHeight="1">
      <c r="A314" s="71"/>
      <c r="B314" s="76" t="s">
        <v>76</v>
      </c>
      <c r="C314" s="88"/>
      <c r="D314" s="72">
        <f>H314-E314-G314-F314-C314</f>
        <v>151350</v>
      </c>
      <c r="E314" s="72"/>
      <c r="F314" s="72"/>
      <c r="G314" s="72"/>
      <c r="H314" s="84">
        <f>'4.pielikums'!B324</f>
        <v>151350</v>
      </c>
    </row>
    <row r="315" spans="1:8" ht="30" customHeight="1">
      <c r="A315" s="95"/>
      <c r="B315" s="76" t="s">
        <v>59</v>
      </c>
      <c r="C315" s="88">
        <v>4999</v>
      </c>
      <c r="D315" s="72">
        <f t="shared" si="26"/>
        <v>0</v>
      </c>
      <c r="E315" s="72"/>
      <c r="F315" s="72"/>
      <c r="G315" s="72"/>
      <c r="H315" s="84">
        <f>'4.pielikums'!B325</f>
        <v>4999</v>
      </c>
    </row>
    <row r="316" spans="1:8" ht="30" customHeight="1">
      <c r="A316" s="95"/>
      <c r="B316" s="76" t="s">
        <v>219</v>
      </c>
      <c r="C316" s="88">
        <v>58699</v>
      </c>
      <c r="D316" s="72">
        <f t="shared" si="26"/>
        <v>0</v>
      </c>
      <c r="E316" s="72"/>
      <c r="F316" s="72">
        <v>2760</v>
      </c>
      <c r="G316" s="72"/>
      <c r="H316" s="84">
        <f>'4.pielikums'!B326</f>
        <v>61459</v>
      </c>
    </row>
    <row r="317" spans="1:8" ht="15" customHeight="1">
      <c r="A317" s="95"/>
      <c r="B317" s="89" t="s">
        <v>153</v>
      </c>
      <c r="C317" s="88">
        <v>56655</v>
      </c>
      <c r="D317" s="72">
        <f t="shared" si="26"/>
        <v>0</v>
      </c>
      <c r="E317" s="72"/>
      <c r="F317" s="72">
        <v>20000</v>
      </c>
      <c r="G317" s="72"/>
      <c r="H317" s="84">
        <f>'4.pielikums'!B327</f>
        <v>76655</v>
      </c>
    </row>
    <row r="318" spans="1:8" ht="30" customHeight="1">
      <c r="A318" s="95"/>
      <c r="B318" s="89" t="s">
        <v>242</v>
      </c>
      <c r="C318" s="88">
        <v>2150</v>
      </c>
      <c r="D318" s="72">
        <f t="shared" si="26"/>
        <v>0</v>
      </c>
      <c r="E318" s="72"/>
      <c r="F318" s="72"/>
      <c r="G318" s="72"/>
      <c r="H318" s="84">
        <f>'4.pielikums'!B328</f>
        <v>2150</v>
      </c>
    </row>
    <row r="319" spans="1:8" ht="33" customHeight="1">
      <c r="A319" s="95"/>
      <c r="B319" s="89" t="s">
        <v>611</v>
      </c>
      <c r="C319" s="88">
        <v>2585</v>
      </c>
      <c r="D319" s="72">
        <f t="shared" si="26"/>
        <v>1830</v>
      </c>
      <c r="E319" s="72"/>
      <c r="F319" s="72"/>
      <c r="G319" s="72"/>
      <c r="H319" s="84">
        <f>'4.pielikums'!B329</f>
        <v>4415</v>
      </c>
    </row>
    <row r="320" spans="1:8" ht="62.1" customHeight="1">
      <c r="A320" s="95"/>
      <c r="B320" s="89" t="s">
        <v>612</v>
      </c>
      <c r="C320" s="88">
        <v>2326</v>
      </c>
      <c r="D320" s="72">
        <f t="shared" si="26"/>
        <v>5785</v>
      </c>
      <c r="E320" s="72"/>
      <c r="F320" s="72"/>
      <c r="G320" s="72"/>
      <c r="H320" s="84">
        <f>'4.pielikums'!B330</f>
        <v>8111</v>
      </c>
    </row>
    <row r="321" spans="1:8" ht="45" customHeight="1">
      <c r="A321" s="95"/>
      <c r="B321" s="89" t="s">
        <v>613</v>
      </c>
      <c r="C321" s="88">
        <v>4370</v>
      </c>
      <c r="D321" s="72">
        <f t="shared" si="26"/>
        <v>0</v>
      </c>
      <c r="E321" s="72"/>
      <c r="F321" s="72"/>
      <c r="G321" s="72"/>
      <c r="H321" s="84">
        <f>'4.pielikums'!B331</f>
        <v>4370</v>
      </c>
    </row>
    <row r="322" spans="1:8" ht="30" customHeight="1">
      <c r="A322" s="95"/>
      <c r="B322" s="89" t="s">
        <v>255</v>
      </c>
      <c r="C322" s="88">
        <v>388</v>
      </c>
      <c r="D322" s="72">
        <f t="shared" si="26"/>
        <v>6235</v>
      </c>
      <c r="E322" s="72"/>
      <c r="F322" s="72">
        <v>8966</v>
      </c>
      <c r="G322" s="72"/>
      <c r="H322" s="84">
        <f>'4.pielikums'!B332</f>
        <v>15589</v>
      </c>
    </row>
    <row r="323" spans="1:8" ht="31.5" customHeight="1">
      <c r="A323" s="95"/>
      <c r="B323" s="89" t="s">
        <v>241</v>
      </c>
      <c r="C323" s="88">
        <v>16490</v>
      </c>
      <c r="D323" s="72">
        <f t="shared" si="26"/>
        <v>1303</v>
      </c>
      <c r="E323" s="72"/>
      <c r="F323" s="72"/>
      <c r="G323" s="72"/>
      <c r="H323" s="84">
        <f>'4.pielikums'!B333</f>
        <v>17793</v>
      </c>
    </row>
    <row r="324" spans="1:8" ht="45" customHeight="1">
      <c r="A324" s="95"/>
      <c r="B324" s="94" t="s">
        <v>572</v>
      </c>
      <c r="C324" s="88"/>
      <c r="D324" s="72">
        <f t="shared" si="26"/>
        <v>6975</v>
      </c>
      <c r="E324" s="72"/>
      <c r="F324" s="72">
        <v>26521</v>
      </c>
      <c r="G324" s="72"/>
      <c r="H324" s="84">
        <f>'4.pielikums'!B334</f>
        <v>33496</v>
      </c>
    </row>
    <row r="325" spans="1:8" ht="30" customHeight="1">
      <c r="A325" s="95"/>
      <c r="B325" s="94" t="s">
        <v>256</v>
      </c>
      <c r="C325" s="88">
        <v>2738</v>
      </c>
      <c r="D325" s="72">
        <f t="shared" si="26"/>
        <v>0</v>
      </c>
      <c r="E325" s="72"/>
      <c r="F325" s="72">
        <v>8712</v>
      </c>
      <c r="G325" s="72"/>
      <c r="H325" s="84">
        <f>'4.pielikums'!B335</f>
        <v>11450</v>
      </c>
    </row>
    <row r="326" spans="1:8" ht="30" customHeight="1">
      <c r="A326" s="95"/>
      <c r="B326" s="94" t="s">
        <v>647</v>
      </c>
      <c r="C326" s="88"/>
      <c r="D326" s="72">
        <f t="shared" si="26"/>
        <v>0</v>
      </c>
      <c r="E326" s="72"/>
      <c r="F326" s="72">
        <v>4000</v>
      </c>
      <c r="G326" s="72"/>
      <c r="H326" s="84">
        <f>'4.pielikums'!B336</f>
        <v>4000</v>
      </c>
    </row>
    <row r="327" spans="1:8" ht="30" customHeight="1">
      <c r="A327" s="95"/>
      <c r="B327" s="94" t="s">
        <v>663</v>
      </c>
      <c r="C327" s="88"/>
      <c r="D327" s="72">
        <f t="shared" si="26"/>
        <v>41754</v>
      </c>
      <c r="E327" s="72"/>
      <c r="F327" s="72">
        <v>38098</v>
      </c>
      <c r="G327" s="72"/>
      <c r="H327" s="84">
        <f>'4.pielikums'!B337</f>
        <v>79852</v>
      </c>
    </row>
    <row r="328" spans="1:8" ht="15" customHeight="1">
      <c r="A328" s="95"/>
      <c r="B328" s="94" t="s">
        <v>641</v>
      </c>
      <c r="C328" s="88"/>
      <c r="D328" s="72">
        <f t="shared" si="26"/>
        <v>0</v>
      </c>
      <c r="E328" s="72"/>
      <c r="F328" s="72">
        <v>2000</v>
      </c>
      <c r="G328" s="72"/>
      <c r="H328" s="84">
        <f>'4.pielikums'!B374</f>
        <v>2000</v>
      </c>
    </row>
    <row r="329" spans="1:8" ht="18.75" customHeight="1">
      <c r="A329" s="95"/>
      <c r="B329" s="76" t="s">
        <v>247</v>
      </c>
      <c r="C329" s="88"/>
      <c r="D329" s="72">
        <f t="shared" si="26"/>
        <v>51760</v>
      </c>
      <c r="E329" s="72"/>
      <c r="F329" s="72"/>
      <c r="G329" s="72"/>
      <c r="H329" s="84">
        <f>'4.pielikums'!B338</f>
        <v>51760</v>
      </c>
    </row>
    <row r="330" spans="1:8" ht="42.75" customHeight="1">
      <c r="A330" s="95"/>
      <c r="B330" s="74" t="s">
        <v>668</v>
      </c>
      <c r="C330" s="88"/>
      <c r="D330" s="72">
        <f t="shared" si="26"/>
        <v>0</v>
      </c>
      <c r="E330" s="72"/>
      <c r="F330" s="72">
        <v>7056</v>
      </c>
      <c r="G330" s="72"/>
      <c r="H330" s="84">
        <f>'4.pielikums'!B387</f>
        <v>7056</v>
      </c>
    </row>
    <row r="331" spans="1:8" ht="30" customHeight="1">
      <c r="A331" s="95"/>
      <c r="B331" s="76" t="s">
        <v>243</v>
      </c>
      <c r="C331" s="88"/>
      <c r="D331" s="72">
        <f t="shared" si="26"/>
        <v>0</v>
      </c>
      <c r="E331" s="72"/>
      <c r="F331" s="72">
        <v>244109</v>
      </c>
      <c r="G331" s="72">
        <v>551892</v>
      </c>
      <c r="H331" s="84">
        <f>'4.pielikums'!B339</f>
        <v>796001</v>
      </c>
    </row>
    <row r="332" spans="2:8" ht="39" customHeight="1">
      <c r="B332" s="76" t="s">
        <v>246</v>
      </c>
      <c r="C332" s="88"/>
      <c r="D332" s="72">
        <f t="shared" si="26"/>
        <v>0</v>
      </c>
      <c r="E332" s="72"/>
      <c r="F332" s="72">
        <v>137225</v>
      </c>
      <c r="G332" s="72">
        <v>243562</v>
      </c>
      <c r="H332" s="84">
        <f>'4.pielikums'!B340</f>
        <v>380787</v>
      </c>
    </row>
    <row r="333" spans="1:8" ht="15" customHeight="1">
      <c r="A333" s="11" t="s">
        <v>321</v>
      </c>
      <c r="B333" s="67" t="s">
        <v>322</v>
      </c>
      <c r="C333" s="68">
        <f t="shared" si="31" ref="C333:H333">=C334+C335</f>
        <v>40119</v>
      </c>
      <c r="D333" s="68">
        <f t="shared" si="31"/>
        <v>2625297</v>
      </c>
      <c r="E333" s="68">
        <f t="shared" si="31"/>
        <v>1539641</v>
      </c>
      <c r="F333" s="68">
        <f t="shared" si="31"/>
        <v>1856947</v>
      </c>
      <c r="G333" s="68">
        <f t="shared" si="31"/>
        <v>0</v>
      </c>
      <c r="H333" s="84">
        <f t="shared" si="31"/>
        <v>6062004</v>
      </c>
    </row>
    <row r="334" spans="1:8" ht="30" customHeight="1">
      <c r="A334" s="98"/>
      <c r="B334" s="71" t="s">
        <v>48</v>
      </c>
      <c r="C334" s="87"/>
      <c r="D334" s="72">
        <f t="shared" si="26"/>
        <v>226717</v>
      </c>
      <c r="E334" s="72">
        <v>11000</v>
      </c>
      <c r="F334" s="72"/>
      <c r="G334" s="72"/>
      <c r="H334" s="84">
        <f>'4.pielikums'!B341</f>
        <v>237717</v>
      </c>
    </row>
    <row r="335" spans="1:8" ht="15" customHeight="1">
      <c r="A335" s="11"/>
      <c r="B335" s="99" t="s">
        <v>323</v>
      </c>
      <c r="C335" s="68">
        <f t="shared" si="32" ref="C335:H335">=SUM(C336:C355)</f>
        <v>40119</v>
      </c>
      <c r="D335" s="68">
        <f t="shared" si="32"/>
        <v>2398580</v>
      </c>
      <c r="E335" s="68">
        <f t="shared" si="32"/>
        <v>1528641</v>
      </c>
      <c r="F335" s="68">
        <f>SUM(F336:F355)</f>
        <v>1856947</v>
      </c>
      <c r="G335" s="68">
        <f t="shared" si="32"/>
        <v>0</v>
      </c>
      <c r="H335" s="84">
        <f t="shared" si="32"/>
        <v>5824287</v>
      </c>
    </row>
    <row r="336" spans="1:8" ht="15" customHeight="1">
      <c r="A336" s="11"/>
      <c r="B336" s="71" t="s">
        <v>178</v>
      </c>
      <c r="C336" s="87"/>
      <c r="D336" s="72">
        <f t="shared" si="26"/>
        <v>648189</v>
      </c>
      <c r="E336" s="72">
        <f>25190+3000+400</f>
        <v>28590</v>
      </c>
      <c r="F336" s="72"/>
      <c r="G336" s="72"/>
      <c r="H336" s="84">
        <f>'4.pielikums'!B342</f>
        <v>676779</v>
      </c>
    </row>
    <row r="337" spans="1:8" ht="15" customHeight="1">
      <c r="A337" s="11"/>
      <c r="B337" s="71" t="s">
        <v>228</v>
      </c>
      <c r="C337" s="87"/>
      <c r="D337" s="72">
        <f t="shared" si="26"/>
        <v>648939</v>
      </c>
      <c r="E337" s="72"/>
      <c r="F337" s="72">
        <f>25441+53978+231715</f>
        <v>311134</v>
      </c>
      <c r="G337" s="72"/>
      <c r="H337" s="84">
        <f>'4.pielikums'!B343</f>
        <v>960073</v>
      </c>
    </row>
    <row r="338" spans="1:8" ht="15" customHeight="1">
      <c r="A338" s="11"/>
      <c r="B338" s="71" t="s">
        <v>172</v>
      </c>
      <c r="C338" s="87"/>
      <c r="D338" s="72">
        <f t="shared" si="33" ref="D338:D355">=H338-E338-G338-F338-C338</f>
        <v>22990</v>
      </c>
      <c r="E338" s="72"/>
      <c r="F338" s="72"/>
      <c r="G338" s="72"/>
      <c r="H338" s="84">
        <f>'4.pielikums'!B344</f>
        <v>22990</v>
      </c>
    </row>
    <row r="339" spans="1:8" ht="15" customHeight="1">
      <c r="A339" s="11"/>
      <c r="B339" s="71" t="s">
        <v>49</v>
      </c>
      <c r="C339" s="87"/>
      <c r="D339" s="72">
        <f t="shared" si="33"/>
        <v>11213</v>
      </c>
      <c r="E339" s="72">
        <f>10600</f>
        <v>10600</v>
      </c>
      <c r="F339" s="72"/>
      <c r="G339" s="72"/>
      <c r="H339" s="84">
        <f>'4.pielikums'!B345</f>
        <v>21813</v>
      </c>
    </row>
    <row r="340" spans="1:8" ht="15" customHeight="1">
      <c r="A340" s="86"/>
      <c r="B340" s="71" t="s">
        <v>61</v>
      </c>
      <c r="C340" s="87"/>
      <c r="D340" s="72">
        <f t="shared" si="33"/>
        <v>143002</v>
      </c>
      <c r="E340" s="72">
        <f>2910</f>
        <v>2910</v>
      </c>
      <c r="F340" s="72">
        <v>828</v>
      </c>
      <c r="G340" s="72"/>
      <c r="H340" s="84">
        <f>'4.pielikums'!B346</f>
        <v>146740</v>
      </c>
    </row>
    <row r="341" spans="1:8" ht="15" customHeight="1">
      <c r="A341" s="86"/>
      <c r="B341" s="71" t="s">
        <v>47</v>
      </c>
      <c r="C341" s="87"/>
      <c r="D341" s="72">
        <f t="shared" si="33"/>
        <v>685800</v>
      </c>
      <c r="E341" s="72">
        <f>2700+9000+884800+12000+2000</f>
        <v>910500</v>
      </c>
      <c r="F341" s="72">
        <f>23256+288</f>
        <v>23544</v>
      </c>
      <c r="G341" s="72"/>
      <c r="H341" s="84">
        <f>'4.pielikums'!B347</f>
        <v>1619844</v>
      </c>
    </row>
    <row r="342" spans="1:8" ht="15" customHeight="1">
      <c r="A342" s="86"/>
      <c r="B342" s="74" t="s">
        <v>121</v>
      </c>
      <c r="C342" s="88"/>
      <c r="D342" s="72">
        <f t="shared" si="33"/>
        <v>125280</v>
      </c>
      <c r="E342" s="72">
        <f>147580+2314</f>
        <v>149894</v>
      </c>
      <c r="F342" s="72">
        <f>7752+96+16650</f>
        <v>24498</v>
      </c>
      <c r="G342" s="72"/>
      <c r="H342" s="84">
        <f>'4.pielikums'!B348</f>
        <v>299672</v>
      </c>
    </row>
    <row r="343" spans="1:8" ht="15" customHeight="1">
      <c r="A343" s="86"/>
      <c r="B343" s="97" t="s">
        <v>123</v>
      </c>
      <c r="C343" s="88"/>
      <c r="D343" s="72">
        <f t="shared" si="33"/>
        <v>6952</v>
      </c>
      <c r="E343" s="72">
        <f>172055+1850</f>
        <v>173905</v>
      </c>
      <c r="F343" s="72">
        <f>12000</f>
        <v>12000</v>
      </c>
      <c r="G343" s="72"/>
      <c r="H343" s="84">
        <f>'4.pielikums'!B349</f>
        <v>192857</v>
      </c>
    </row>
    <row r="344" spans="1:8" ht="30" customHeight="1">
      <c r="A344" s="86"/>
      <c r="B344" s="97" t="s">
        <v>122</v>
      </c>
      <c r="C344" s="88"/>
      <c r="D344" s="72">
        <f t="shared" si="33"/>
        <v>29912</v>
      </c>
      <c r="E344" s="72">
        <f>227440+1250</f>
        <v>228690</v>
      </c>
      <c r="F344" s="72">
        <f>15500</f>
        <v>15500</v>
      </c>
      <c r="G344" s="72"/>
      <c r="H344" s="84">
        <f>'4.pielikums'!B351</f>
        <v>274102</v>
      </c>
    </row>
    <row r="345" spans="1:8" ht="30" customHeight="1">
      <c r="A345" s="86"/>
      <c r="B345" s="76" t="s">
        <v>79</v>
      </c>
      <c r="C345" s="88"/>
      <c r="D345" s="72">
        <f t="shared" si="33"/>
        <v>0</v>
      </c>
      <c r="E345" s="72">
        <f>2502+10796</f>
        <v>13298</v>
      </c>
      <c r="F345" s="72">
        <v>298623</v>
      </c>
      <c r="G345" s="72"/>
      <c r="H345" s="84">
        <f>'4.pielikums'!B353</f>
        <v>311921</v>
      </c>
    </row>
    <row r="346" spans="1:8" ht="30" customHeight="1">
      <c r="A346" s="86"/>
      <c r="B346" s="94" t="s">
        <v>179</v>
      </c>
      <c r="C346" s="88"/>
      <c r="D346" s="72">
        <f t="shared" si="33"/>
        <v>31534</v>
      </c>
      <c r="E346" s="72"/>
      <c r="F346" s="72">
        <v>49643</v>
      </c>
      <c r="G346" s="72"/>
      <c r="H346" s="84">
        <f>'4.pielikums'!B354</f>
        <v>81177</v>
      </c>
    </row>
    <row r="347" spans="1:8" ht="30" customHeight="1">
      <c r="A347" s="86"/>
      <c r="B347" s="89" t="s">
        <v>180</v>
      </c>
      <c r="C347" s="88"/>
      <c r="D347" s="72">
        <f t="shared" si="33"/>
        <v>21187</v>
      </c>
      <c r="E347" s="72">
        <f>9034</f>
        <v>9034</v>
      </c>
      <c r="F347" s="72">
        <v>101834</v>
      </c>
      <c r="G347" s="72"/>
      <c r="H347" s="84">
        <f>'4.pielikums'!B355</f>
        <v>132055</v>
      </c>
    </row>
    <row r="348" spans="1:8" ht="30" customHeight="1">
      <c r="A348" s="86"/>
      <c r="B348" s="94" t="s">
        <v>160</v>
      </c>
      <c r="C348" s="88"/>
      <c r="D348" s="72">
        <f t="shared" si="33"/>
        <v>4935</v>
      </c>
      <c r="E348" s="72">
        <f>600</f>
        <v>600</v>
      </c>
      <c r="F348" s="72"/>
      <c r="G348" s="72"/>
      <c r="H348" s="84">
        <f>'4.pielikums'!B356</f>
        <v>5535</v>
      </c>
    </row>
    <row r="349" spans="1:8" ht="30" customHeight="1">
      <c r="A349" s="86"/>
      <c r="B349" s="94" t="s">
        <v>571</v>
      </c>
      <c r="C349" s="88"/>
      <c r="D349" s="72">
        <f t="shared" si="33"/>
        <v>0</v>
      </c>
      <c r="E349" s="72">
        <f>620</f>
        <v>620</v>
      </c>
      <c r="F349" s="72"/>
      <c r="G349" s="72"/>
      <c r="H349" s="84">
        <f>'4.pielikums'!B357</f>
        <v>620</v>
      </c>
    </row>
    <row r="350" spans="1:8" ht="30" customHeight="1">
      <c r="A350" s="86"/>
      <c r="B350" s="76" t="s">
        <v>325</v>
      </c>
      <c r="C350" s="88"/>
      <c r="D350" s="72">
        <f t="shared" si="33"/>
        <v>0</v>
      </c>
      <c r="E350" s="72"/>
      <c r="F350" s="72">
        <v>484637</v>
      </c>
      <c r="G350" s="72"/>
      <c r="H350" s="84">
        <f>'4.pielikums'!B358</f>
        <v>484637</v>
      </c>
    </row>
    <row r="351" spans="1:8" ht="30" customHeight="1">
      <c r="A351" s="86"/>
      <c r="B351" s="76" t="s">
        <v>676</v>
      </c>
      <c r="C351" s="88"/>
      <c r="D351" s="72">
        <f t="shared" si="33"/>
        <v>2530</v>
      </c>
      <c r="E351" s="72"/>
      <c r="F351" s="72"/>
      <c r="G351" s="72"/>
      <c r="H351" s="84">
        <f>'4.pielikums'!B386</f>
        <v>2530</v>
      </c>
    </row>
    <row r="352" spans="1:8" ht="30" customHeight="1">
      <c r="A352" s="86"/>
      <c r="B352" s="76" t="s">
        <v>56</v>
      </c>
      <c r="C352" s="88"/>
      <c r="D352" s="72">
        <f t="shared" si="33"/>
        <v>0</v>
      </c>
      <c r="E352" s="72"/>
      <c r="F352" s="72">
        <v>462678</v>
      </c>
      <c r="G352" s="72"/>
      <c r="H352" s="84">
        <f>'4.pielikums'!B359</f>
        <v>462678</v>
      </c>
    </row>
    <row r="353" spans="1:8" ht="30" customHeight="1">
      <c r="A353" s="86"/>
      <c r="B353" s="74" t="s">
        <v>55</v>
      </c>
      <c r="C353" s="88">
        <v>1518</v>
      </c>
      <c r="D353" s="72">
        <f t="shared" si="33"/>
        <v>10467</v>
      </c>
      <c r="E353" s="72"/>
      <c r="F353" s="72">
        <v>46327</v>
      </c>
      <c r="G353" s="72"/>
      <c r="H353" s="84">
        <f>'4.pielikums'!B360</f>
        <v>58312</v>
      </c>
    </row>
    <row r="354" spans="1:8" ht="30" customHeight="1">
      <c r="A354" s="86"/>
      <c r="B354" s="74" t="s">
        <v>573</v>
      </c>
      <c r="C354" s="88">
        <v>38601</v>
      </c>
      <c r="D354" s="72">
        <f t="shared" si="33"/>
        <v>0</v>
      </c>
      <c r="E354" s="72"/>
      <c r="F354" s="72">
        <f>9781+15920</f>
        <v>25701</v>
      </c>
      <c r="G354" s="72"/>
      <c r="H354" s="84">
        <f>'4.pielikums'!B378</f>
        <v>64302</v>
      </c>
    </row>
    <row r="355" spans="2:8" ht="31.5">
      <c r="B355" s="97" t="s">
        <v>324</v>
      </c>
      <c r="C355" s="88"/>
      <c r="D355" s="72">
        <f t="shared" si="33"/>
        <v>5650</v>
      </c>
      <c r="E355" s="72"/>
      <c r="F355" s="72"/>
      <c r="G355" s="72"/>
      <c r="H355" s="84">
        <f>'4.pielikums'!B238+'4.pielikums'!B239+'4.pielikums'!B361+'4.pielikums'!B362+'4.pielikums'!B363</f>
        <v>5650</v>
      </c>
    </row>
    <row r="356" spans="2:8" s="79" customFormat="1" ht="15.75">
      <c r="B356" s="77"/>
      <c r="C356" s="77"/>
      <c r="D356" s="78"/>
      <c r="E356" s="78"/>
      <c r="F356" s="78"/>
      <c r="G356" s="78"/>
      <c r="H356" s="78"/>
    </row>
    <row r="357" spans="2:8" ht="15.75">
      <c r="B357" s="77" t="s">
        <v>326</v>
      </c>
      <c r="C357" s="77"/>
      <c r="D357" s="79"/>
      <c r="E357" s="79"/>
      <c r="F357" s="79"/>
      <c r="G357" s="79"/>
      <c r="H357" s="79"/>
    </row>
    <row r="358" spans="2:3" ht="15.75">
      <c r="B358" s="61"/>
      <c r="C358" s="77"/>
    </row>
  </sheetData>
  <mergeCells count="6">
    <mergeCell ref="H14:H15"/>
    <mergeCell ref="B11:G11"/>
    <mergeCell ref="B12:G12"/>
    <mergeCell ref="A14:A15"/>
    <mergeCell ref="B14:B15"/>
    <mergeCell ref="D14:G14"/>
  </mergeCells>
  <pageMargins left="0.7" right="0.7" top="0.75" bottom="0.75" header="0.3" footer="0.3"/>
  <pageSetup orientation="landscape" paperSize="9" scale="8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218612F-8546-464E-A8F2-515F6F8B5399}">
  <sheetPr>
    <pageSetUpPr fitToPage="1"/>
  </sheetPr>
  <dimension ref="A1:K406"/>
  <sheetViews>
    <sheetView tabSelected="1" workbookViewId="0" topLeftCell="A379">
      <selection pane="topLeft" activeCell="D351" sqref="D351"/>
    </sheetView>
  </sheetViews>
  <sheetFormatPr defaultColWidth="9.144285714285713" defaultRowHeight="15"/>
  <cols>
    <col min="1" max="1" width="34.57142857142857" style="41" customWidth="1"/>
    <col min="2" max="5" width="17.571428571428573" style="61" customWidth="1"/>
    <col min="6" max="6" width="16.428571428571427" style="61" customWidth="1"/>
    <col min="7" max="9" width="17.571428571428573" style="61" customWidth="1"/>
    <col min="10" max="16384" width="9.142857142857142" style="41"/>
  </cols>
  <sheetData>
    <row r="1" spans="9:9" ht="15.75">
      <c r="I1" s="63" t="s">
        <v>164</v>
      </c>
    </row>
    <row r="2" spans="9:9" ht="15.75">
      <c r="I2" s="64" t="s">
        <v>605</v>
      </c>
    </row>
    <row r="3" spans="9:9" ht="15.75">
      <c r="I3" s="64" t="s">
        <v>682</v>
      </c>
    </row>
    <row r="4" spans="9:9" ht="15.75">
      <c r="I4" s="64" t="s">
        <v>661</v>
      </c>
    </row>
    <row r="5" spans="9:9" ht="15.75">
      <c r="I5" s="64" t="s">
        <v>662</v>
      </c>
    </row>
    <row r="7" spans="5:9" ht="15" customHeight="1">
      <c r="E7" s="64"/>
      <c r="F7" s="64"/>
      <c r="G7" s="64"/>
      <c r="H7" s="64"/>
      <c r="I7" s="63" t="s">
        <v>164</v>
      </c>
    </row>
    <row r="8" spans="5:9" ht="15" customHeight="1">
      <c r="E8" s="64"/>
      <c r="F8" s="64"/>
      <c r="G8" s="64"/>
      <c r="H8" s="64"/>
      <c r="I8" s="64" t="s">
        <v>605</v>
      </c>
    </row>
    <row r="9" spans="5:9" ht="15" customHeight="1">
      <c r="E9" s="64"/>
      <c r="F9" s="64"/>
      <c r="G9" s="64"/>
      <c r="H9" s="64"/>
      <c r="I9" s="64" t="s">
        <v>643</v>
      </c>
    </row>
    <row r="10" spans="5:9" ht="15" customHeight="1">
      <c r="E10" s="64"/>
      <c r="F10" s="103"/>
      <c r="G10" s="64"/>
      <c r="H10" s="64"/>
      <c r="I10" s="64" t="s">
        <v>239</v>
      </c>
    </row>
    <row r="11" spans="5:9" ht="15" customHeight="1">
      <c r="E11" s="64"/>
      <c r="F11" s="103"/>
      <c r="G11" s="64"/>
      <c r="H11" s="64"/>
      <c r="I11" s="64"/>
    </row>
    <row r="12" spans="5:9" ht="15" customHeight="1">
      <c r="E12" s="103"/>
      <c r="F12" s="103"/>
      <c r="G12" s="103"/>
      <c r="H12" s="103"/>
      <c r="I12" s="103"/>
    </row>
    <row r="13" spans="1:9" ht="15" customHeight="1">
      <c r="A13" s="2" t="s">
        <v>232</v>
      </c>
      <c r="B13" s="2"/>
      <c r="C13" s="2"/>
      <c r="D13" s="2"/>
      <c r="E13" s="2"/>
      <c r="F13" s="2"/>
      <c r="G13" s="2"/>
      <c r="H13" s="2"/>
      <c r="I13" s="2"/>
    </row>
    <row r="14" ht="15" customHeight="1"/>
    <row r="15" spans="1:9" s="17" customFormat="1" ht="15" customHeight="1">
      <c r="A15" s="1" t="s">
        <v>0</v>
      </c>
      <c r="B15" s="8" t="s">
        <v>586</v>
      </c>
      <c r="C15" s="3" t="s">
        <v>88</v>
      </c>
      <c r="D15" s="3"/>
      <c r="E15" s="3"/>
      <c r="F15" s="3"/>
      <c r="G15" s="3"/>
      <c r="H15" s="3"/>
      <c r="I15" s="3"/>
    </row>
    <row r="16" spans="1:9" s="17" customFormat="1" ht="15" customHeight="1">
      <c r="A16" s="1"/>
      <c r="B16" s="8"/>
      <c r="C16" s="86">
        <v>1000</v>
      </c>
      <c r="D16" s="86">
        <v>2000</v>
      </c>
      <c r="E16" s="86">
        <v>3000</v>
      </c>
      <c r="F16" s="86">
        <v>4000</v>
      </c>
      <c r="G16" s="86">
        <v>5000</v>
      </c>
      <c r="H16" s="104">
        <v>6000</v>
      </c>
      <c r="I16" s="104">
        <v>7000</v>
      </c>
    </row>
    <row r="17" spans="1:9" s="17" customFormat="1" ht="47.25">
      <c r="A17" s="1"/>
      <c r="B17" s="8"/>
      <c r="C17" s="104" t="s">
        <v>83</v>
      </c>
      <c r="D17" s="104" t="s">
        <v>84</v>
      </c>
      <c r="E17" s="104" t="s">
        <v>85</v>
      </c>
      <c r="F17" s="104" t="s">
        <v>86</v>
      </c>
      <c r="G17" s="104" t="s">
        <v>87</v>
      </c>
      <c r="H17" s="104" t="s">
        <v>81</v>
      </c>
      <c r="I17" s="104" t="s">
        <v>82</v>
      </c>
    </row>
    <row r="18" spans="1:9" ht="15" customHeight="1">
      <c r="A18" s="43" t="s">
        <v>1</v>
      </c>
      <c r="B18" s="105">
        <f>SUM(C18:I18)</f>
        <v>1584888</v>
      </c>
      <c r="C18" s="106">
        <v>1385996</v>
      </c>
      <c r="D18" s="106">
        <v>197892</v>
      </c>
      <c r="E18" s="106"/>
      <c r="F18" s="106"/>
      <c r="G18" s="106">
        <v>1000</v>
      </c>
      <c r="H18" s="106"/>
      <c r="I18" s="106"/>
    </row>
    <row r="19" spans="1:9" ht="15" customHeight="1">
      <c r="A19" s="43" t="s">
        <v>2</v>
      </c>
      <c r="B19" s="105">
        <f t="shared" si="0" ref="B19:B98">=SUM(C19:I19)</f>
        <v>155358</v>
      </c>
      <c r="C19" s="106">
        <v>155358</v>
      </c>
      <c r="D19" s="106"/>
      <c r="E19" s="106"/>
      <c r="F19" s="106"/>
      <c r="G19" s="106"/>
      <c r="H19" s="106"/>
      <c r="I19" s="106"/>
    </row>
    <row r="20" spans="1:9" ht="30" customHeight="1">
      <c r="A20" s="43" t="s">
        <v>171</v>
      </c>
      <c r="B20" s="105">
        <f t="shared" si="0"/>
        <v>250642</v>
      </c>
      <c r="C20" s="106">
        <v>250642</v>
      </c>
      <c r="D20" s="106"/>
      <c r="E20" s="106"/>
      <c r="F20" s="106"/>
      <c r="G20" s="106"/>
      <c r="H20" s="106"/>
      <c r="I20" s="106"/>
    </row>
    <row r="21" spans="1:9" ht="15" customHeight="1">
      <c r="A21" s="43" t="s">
        <v>204</v>
      </c>
      <c r="B21" s="105">
        <f t="shared" si="0"/>
        <v>34578</v>
      </c>
      <c r="C21" s="106">
        <v>34578</v>
      </c>
      <c r="D21" s="106"/>
      <c r="E21" s="106"/>
      <c r="F21" s="106"/>
      <c r="G21" s="106"/>
      <c r="H21" s="106"/>
      <c r="I21" s="106"/>
    </row>
    <row r="22" spans="1:9" ht="15" customHeight="1">
      <c r="A22" s="43" t="s">
        <v>197</v>
      </c>
      <c r="B22" s="105">
        <f t="shared" si="0"/>
        <v>620235</v>
      </c>
      <c r="C22" s="106">
        <f>158924</f>
        <v>158924</v>
      </c>
      <c r="D22" s="106">
        <v>85359</v>
      </c>
      <c r="E22" s="106"/>
      <c r="F22" s="106"/>
      <c r="G22" s="106">
        <v>375952</v>
      </c>
      <c r="H22" s="106"/>
      <c r="I22" s="106"/>
    </row>
    <row r="23" spans="1:9" ht="15" customHeight="1">
      <c r="A23" s="44" t="s">
        <v>3</v>
      </c>
      <c r="B23" s="105">
        <f t="shared" si="0"/>
        <v>34564</v>
      </c>
      <c r="C23" s="106">
        <v>30978</v>
      </c>
      <c r="D23" s="106">
        <v>3586</v>
      </c>
      <c r="E23" s="106"/>
      <c r="F23" s="106"/>
      <c r="G23" s="106"/>
      <c r="H23" s="106"/>
      <c r="I23" s="106"/>
    </row>
    <row r="24" spans="1:9" ht="15" customHeight="1">
      <c r="A24" s="44" t="s">
        <v>91</v>
      </c>
      <c r="B24" s="105">
        <f t="shared" si="0"/>
        <v>74805</v>
      </c>
      <c r="C24" s="106">
        <v>47368</v>
      </c>
      <c r="D24" s="106">
        <v>27437</v>
      </c>
      <c r="E24" s="106"/>
      <c r="F24" s="106"/>
      <c r="G24" s="106"/>
      <c r="H24" s="106"/>
      <c r="I24" s="106"/>
    </row>
    <row r="25" spans="1:9" ht="15" customHeight="1">
      <c r="A25" s="44" t="s">
        <v>4</v>
      </c>
      <c r="B25" s="105">
        <f t="shared" si="0"/>
        <v>34798</v>
      </c>
      <c r="C25" s="106">
        <v>31299</v>
      </c>
      <c r="D25" s="106">
        <v>3499</v>
      </c>
      <c r="E25" s="106"/>
      <c r="F25" s="106"/>
      <c r="G25" s="106"/>
      <c r="H25" s="106"/>
      <c r="I25" s="106"/>
    </row>
    <row r="26" spans="1:9" ht="15" customHeight="1">
      <c r="A26" s="44" t="s">
        <v>5</v>
      </c>
      <c r="B26" s="105">
        <f t="shared" si="0"/>
        <v>49595</v>
      </c>
      <c r="C26" s="106">
        <v>36831</v>
      </c>
      <c r="D26" s="106">
        <v>12764</v>
      </c>
      <c r="E26" s="106"/>
      <c r="F26" s="106"/>
      <c r="G26" s="106"/>
      <c r="H26" s="106"/>
      <c r="I26" s="106"/>
    </row>
    <row r="27" spans="1:9" ht="15" customHeight="1">
      <c r="A27" s="44" t="s">
        <v>6</v>
      </c>
      <c r="B27" s="105">
        <f t="shared" si="0"/>
        <v>40318</v>
      </c>
      <c r="C27" s="106">
        <v>29342</v>
      </c>
      <c r="D27" s="106">
        <v>10976</v>
      </c>
      <c r="E27" s="106"/>
      <c r="F27" s="106"/>
      <c r="G27" s="106"/>
      <c r="H27" s="106"/>
      <c r="I27" s="106"/>
    </row>
    <row r="28" spans="1:9" ht="15" customHeight="1">
      <c r="A28" s="44" t="s">
        <v>7</v>
      </c>
      <c r="B28" s="105">
        <f t="shared" si="0"/>
        <v>39996</v>
      </c>
      <c r="C28" s="106">
        <v>30631</v>
      </c>
      <c r="D28" s="106">
        <v>9365</v>
      </c>
      <c r="E28" s="106"/>
      <c r="F28" s="106"/>
      <c r="G28" s="106"/>
      <c r="H28" s="106"/>
      <c r="I28" s="106"/>
    </row>
    <row r="29" spans="1:9" ht="15" customHeight="1">
      <c r="A29" s="44" t="s">
        <v>8</v>
      </c>
      <c r="B29" s="105">
        <f t="shared" si="0"/>
        <v>43440</v>
      </c>
      <c r="C29" s="106">
        <v>34818</v>
      </c>
      <c r="D29" s="106">
        <v>8622</v>
      </c>
      <c r="E29" s="106"/>
      <c r="F29" s="106"/>
      <c r="G29" s="106"/>
      <c r="H29" s="106"/>
      <c r="I29" s="106"/>
    </row>
    <row r="30" spans="1:9" ht="15" customHeight="1">
      <c r="A30" s="44" t="s">
        <v>92</v>
      </c>
      <c r="B30" s="105">
        <f t="shared" si="0"/>
        <v>35446</v>
      </c>
      <c r="C30" s="106">
        <v>30502</v>
      </c>
      <c r="D30" s="106">
        <v>4944</v>
      </c>
      <c r="E30" s="106"/>
      <c r="F30" s="106"/>
      <c r="G30" s="106"/>
      <c r="H30" s="106"/>
      <c r="I30" s="106"/>
    </row>
    <row r="31" spans="1:9" ht="15" customHeight="1">
      <c r="A31" s="44" t="s">
        <v>127</v>
      </c>
      <c r="B31" s="105">
        <f t="shared" si="0"/>
        <v>36877</v>
      </c>
      <c r="C31" s="106">
        <v>29109</v>
      </c>
      <c r="D31" s="106">
        <v>7768</v>
      </c>
      <c r="E31" s="106"/>
      <c r="F31" s="106"/>
      <c r="G31" s="106"/>
      <c r="H31" s="106"/>
      <c r="I31" s="106"/>
    </row>
    <row r="32" spans="1:9" ht="15" customHeight="1">
      <c r="A32" s="44" t="s">
        <v>9</v>
      </c>
      <c r="B32" s="105">
        <f t="shared" si="0"/>
        <v>23494</v>
      </c>
      <c r="C32" s="106">
        <v>20880</v>
      </c>
      <c r="D32" s="106">
        <v>2614</v>
      </c>
      <c r="E32" s="106"/>
      <c r="F32" s="106"/>
      <c r="G32" s="106"/>
      <c r="H32" s="106"/>
      <c r="I32" s="106"/>
    </row>
    <row r="33" spans="1:9" ht="15" customHeight="1">
      <c r="A33" s="44" t="s">
        <v>93</v>
      </c>
      <c r="B33" s="105">
        <f>SUM(C33:I33)</f>
        <v>44864</v>
      </c>
      <c r="C33" s="106">
        <v>29340</v>
      </c>
      <c r="D33" s="106">
        <f>14411+D34</f>
        <v>15524</v>
      </c>
      <c r="E33" s="106"/>
      <c r="F33" s="106"/>
      <c r="G33" s="106"/>
      <c r="H33" s="106"/>
      <c r="I33" s="106"/>
    </row>
    <row r="34" spans="1:9" ht="15" customHeight="1">
      <c r="A34" s="126" t="s">
        <v>646</v>
      </c>
      <c r="B34" s="105">
        <f>SUM(C34:I34)</f>
        <v>1113</v>
      </c>
      <c r="C34" s="106"/>
      <c r="D34" s="106">
        <f>313+800</f>
        <v>1113</v>
      </c>
      <c r="E34" s="106"/>
      <c r="F34" s="106"/>
      <c r="G34" s="106"/>
      <c r="H34" s="106"/>
      <c r="I34" s="106"/>
    </row>
    <row r="35" spans="1:9" ht="15" customHeight="1">
      <c r="A35" s="44" t="s">
        <v>128</v>
      </c>
      <c r="B35" s="105">
        <f t="shared" si="0"/>
        <v>50043</v>
      </c>
      <c r="C35" s="106">
        <v>34703</v>
      </c>
      <c r="D35" s="106">
        <v>15340</v>
      </c>
      <c r="E35" s="106"/>
      <c r="F35" s="106"/>
      <c r="G35" s="106"/>
      <c r="H35" s="106"/>
      <c r="I35" s="106"/>
    </row>
    <row r="36" spans="1:9" ht="15" customHeight="1">
      <c r="A36" s="44" t="s">
        <v>94</v>
      </c>
      <c r="B36" s="105">
        <f t="shared" si="0"/>
        <v>20658</v>
      </c>
      <c r="C36" s="106">
        <v>15232</v>
      </c>
      <c r="D36" s="106">
        <v>5426</v>
      </c>
      <c r="E36" s="106"/>
      <c r="F36" s="106"/>
      <c r="G36" s="106"/>
      <c r="H36" s="106"/>
      <c r="I36" s="106"/>
    </row>
    <row r="37" spans="1:9" ht="15" customHeight="1">
      <c r="A37" s="44" t="s">
        <v>95</v>
      </c>
      <c r="B37" s="105">
        <f t="shared" si="0"/>
        <v>48906</v>
      </c>
      <c r="C37" s="106">
        <v>39938</v>
      </c>
      <c r="D37" s="106">
        <v>8968</v>
      </c>
      <c r="E37" s="106"/>
      <c r="F37" s="106"/>
      <c r="G37" s="106"/>
      <c r="H37" s="106"/>
      <c r="I37" s="106"/>
    </row>
    <row r="38" spans="1:9" ht="15" customHeight="1">
      <c r="A38" s="44" t="s">
        <v>10</v>
      </c>
      <c r="B38" s="105">
        <f t="shared" si="0"/>
        <v>44053</v>
      </c>
      <c r="C38" s="106">
        <v>34026</v>
      </c>
      <c r="D38" s="106">
        <v>10027</v>
      </c>
      <c r="E38" s="106"/>
      <c r="F38" s="106"/>
      <c r="G38" s="106"/>
      <c r="H38" s="106"/>
      <c r="I38" s="106"/>
    </row>
    <row r="39" spans="1:9" ht="15" customHeight="1">
      <c r="A39" s="44" t="s">
        <v>11</v>
      </c>
      <c r="B39" s="105">
        <f t="shared" si="0"/>
        <v>34012</v>
      </c>
      <c r="C39" s="106">
        <v>28627</v>
      </c>
      <c r="D39" s="106">
        <v>5385</v>
      </c>
      <c r="E39" s="106"/>
      <c r="F39" s="106"/>
      <c r="G39" s="106"/>
      <c r="H39" s="106"/>
      <c r="I39" s="106"/>
    </row>
    <row r="40" spans="1:9" ht="15" customHeight="1">
      <c r="A40" s="44" t="s">
        <v>96</v>
      </c>
      <c r="B40" s="105">
        <f t="shared" si="0"/>
        <v>38568</v>
      </c>
      <c r="C40" s="106">
        <v>26699</v>
      </c>
      <c r="D40" s="106">
        <v>7391</v>
      </c>
      <c r="E40" s="106"/>
      <c r="F40" s="106"/>
      <c r="G40" s="106">
        <f>G41</f>
        <v>4478</v>
      </c>
      <c r="H40" s="106"/>
      <c r="I40" s="106"/>
    </row>
    <row r="41" spans="1:9" ht="15" customHeight="1">
      <c r="A41" s="126" t="s">
        <v>646</v>
      </c>
      <c r="B41" s="105">
        <f t="shared" si="0"/>
        <v>4478</v>
      </c>
      <c r="C41" s="106"/>
      <c r="D41" s="106"/>
      <c r="E41" s="106"/>
      <c r="F41" s="106"/>
      <c r="G41" s="106">
        <v>4478</v>
      </c>
      <c r="H41" s="106"/>
      <c r="I41" s="106"/>
    </row>
    <row r="42" spans="1:9" ht="15" customHeight="1">
      <c r="A42" s="44" t="s">
        <v>12</v>
      </c>
      <c r="B42" s="105">
        <f t="shared" si="0"/>
        <v>39193</v>
      </c>
      <c r="C42" s="106">
        <v>34031</v>
      </c>
      <c r="D42" s="106">
        <v>5162</v>
      </c>
      <c r="E42" s="106"/>
      <c r="F42" s="106"/>
      <c r="G42" s="106"/>
      <c r="H42" s="106"/>
      <c r="I42" s="106"/>
    </row>
    <row r="43" spans="1:9" ht="15" customHeight="1">
      <c r="A43" s="44" t="s">
        <v>89</v>
      </c>
      <c r="B43" s="105">
        <f t="shared" si="0"/>
        <v>77350</v>
      </c>
      <c r="C43" s="106">
        <v>48121</v>
      </c>
      <c r="D43" s="106">
        <f>29817+D44</f>
        <v>29229</v>
      </c>
      <c r="E43" s="106"/>
      <c r="F43" s="106"/>
      <c r="G43" s="106"/>
      <c r="H43" s="106"/>
      <c r="I43" s="106"/>
    </row>
    <row r="44" spans="1:9" ht="15" customHeight="1">
      <c r="A44" s="126" t="s">
        <v>646</v>
      </c>
      <c r="B44" s="105">
        <f t="shared" si="0"/>
        <v>-588</v>
      </c>
      <c r="C44" s="106"/>
      <c r="D44" s="106">
        <v>-588</v>
      </c>
      <c r="E44" s="106"/>
      <c r="F44" s="106"/>
      <c r="G44" s="106"/>
      <c r="H44" s="106"/>
      <c r="I44" s="106"/>
    </row>
    <row r="45" spans="1:9" ht="15" customHeight="1">
      <c r="A45" s="44" t="s">
        <v>97</v>
      </c>
      <c r="B45" s="105">
        <f t="shared" si="0"/>
        <v>37510</v>
      </c>
      <c r="C45" s="106">
        <v>30183</v>
      </c>
      <c r="D45" s="106">
        <v>7327</v>
      </c>
      <c r="E45" s="106"/>
      <c r="F45" s="106"/>
      <c r="G45" s="106"/>
      <c r="H45" s="106"/>
      <c r="I45" s="106"/>
    </row>
    <row r="46" spans="1:9" ht="33" customHeight="1">
      <c r="A46" s="44" t="s">
        <v>90</v>
      </c>
      <c r="B46" s="105">
        <f t="shared" si="0"/>
        <v>123888</v>
      </c>
      <c r="C46" s="106">
        <v>88457</v>
      </c>
      <c r="D46" s="106">
        <f>13831+D47</f>
        <v>28431</v>
      </c>
      <c r="E46" s="106"/>
      <c r="F46" s="106"/>
      <c r="G46" s="106">
        <f>G47</f>
        <v>7000</v>
      </c>
      <c r="H46" s="106"/>
      <c r="I46" s="106"/>
    </row>
    <row r="47" spans="1:9" ht="19.5" customHeight="1">
      <c r="A47" s="126" t="s">
        <v>646</v>
      </c>
      <c r="B47" s="105">
        <f t="shared" si="0"/>
        <v>21600</v>
      </c>
      <c r="C47" s="106"/>
      <c r="D47" s="106">
        <v>14600</v>
      </c>
      <c r="E47" s="106"/>
      <c r="F47" s="106"/>
      <c r="G47" s="106">
        <v>7000</v>
      </c>
      <c r="H47" s="106"/>
      <c r="I47" s="106"/>
    </row>
    <row r="48" spans="1:9" ht="30" customHeight="1">
      <c r="A48" s="44" t="s">
        <v>13</v>
      </c>
      <c r="B48" s="105">
        <f t="shared" si="0"/>
        <v>2470</v>
      </c>
      <c r="C48" s="106"/>
      <c r="D48" s="106">
        <f>6000+D49</f>
        <v>2470</v>
      </c>
      <c r="E48" s="106"/>
      <c r="F48" s="106"/>
      <c r="G48" s="106"/>
      <c r="H48" s="106"/>
      <c r="I48" s="106"/>
    </row>
    <row r="49" spans="1:9" ht="30" customHeight="1">
      <c r="A49" s="126" t="s">
        <v>646</v>
      </c>
      <c r="B49" s="105">
        <f t="shared" si="0"/>
        <v>-3530</v>
      </c>
      <c r="C49" s="106"/>
      <c r="D49" s="106">
        <f>-1000-2250-140-140</f>
        <v>-3530</v>
      </c>
      <c r="E49" s="106"/>
      <c r="F49" s="106"/>
      <c r="G49" s="106"/>
      <c r="H49" s="106"/>
      <c r="I49" s="106"/>
    </row>
    <row r="50" spans="1:9" ht="15" customHeight="1">
      <c r="A50" s="44" t="s">
        <v>14</v>
      </c>
      <c r="B50" s="105">
        <f t="shared" si="0"/>
        <v>45250</v>
      </c>
      <c r="C50" s="106"/>
      <c r="D50" s="106">
        <v>41850</v>
      </c>
      <c r="E50" s="106">
        <v>3400</v>
      </c>
      <c r="F50" s="106"/>
      <c r="G50" s="106"/>
      <c r="H50" s="106"/>
      <c r="I50" s="106"/>
    </row>
    <row r="51" spans="1:9" ht="27" customHeight="1">
      <c r="A51" s="44" t="s">
        <v>174</v>
      </c>
      <c r="B51" s="105">
        <f t="shared" si="0"/>
        <v>441606</v>
      </c>
      <c r="C51" s="106"/>
      <c r="D51" s="106">
        <v>23776</v>
      </c>
      <c r="E51" s="106"/>
      <c r="F51" s="106">
        <v>417830</v>
      </c>
      <c r="G51" s="106"/>
      <c r="H51" s="106"/>
      <c r="I51" s="106"/>
    </row>
    <row r="52" spans="1:9" ht="24" customHeight="1">
      <c r="A52" s="44" t="s">
        <v>253</v>
      </c>
      <c r="B52" s="105">
        <f t="shared" si="0"/>
        <v>0</v>
      </c>
      <c r="C52" s="106"/>
      <c r="D52" s="106"/>
      <c r="E52" s="106"/>
      <c r="F52" s="106"/>
      <c r="G52" s="106">
        <v>0</v>
      </c>
      <c r="H52" s="106"/>
      <c r="I52" s="106"/>
    </row>
    <row r="53" spans="1:9" ht="15" customHeight="1">
      <c r="A53" s="44" t="s">
        <v>15</v>
      </c>
      <c r="B53" s="105">
        <f t="shared" si="0"/>
        <v>85105</v>
      </c>
      <c r="C53" s="106">
        <v>67634</v>
      </c>
      <c r="D53" s="106">
        <v>17471</v>
      </c>
      <c r="E53" s="106"/>
      <c r="F53" s="106"/>
      <c r="G53" s="106"/>
      <c r="H53" s="106"/>
      <c r="I53" s="106"/>
    </row>
    <row r="54" spans="1:9" ht="15" customHeight="1">
      <c r="A54" s="44" t="s">
        <v>16</v>
      </c>
      <c r="B54" s="105">
        <f t="shared" si="0"/>
        <v>173642</v>
      </c>
      <c r="C54" s="106">
        <v>153754</v>
      </c>
      <c r="D54" s="106">
        <v>19888</v>
      </c>
      <c r="E54" s="106"/>
      <c r="F54" s="106"/>
      <c r="G54" s="106"/>
      <c r="H54" s="106"/>
      <c r="I54" s="106"/>
    </row>
    <row r="55" spans="1:9" ht="15" customHeight="1">
      <c r="A55" s="45" t="s">
        <v>54</v>
      </c>
      <c r="B55" s="105">
        <f t="shared" si="0"/>
        <v>56921</v>
      </c>
      <c r="C55" s="106">
        <v>54104</v>
      </c>
      <c r="D55" s="106">
        <v>2817</v>
      </c>
      <c r="E55" s="106"/>
      <c r="F55" s="106"/>
      <c r="G55" s="106"/>
      <c r="H55" s="106"/>
      <c r="I55" s="106"/>
    </row>
    <row r="56" spans="1:9" ht="15" customHeight="1">
      <c r="A56" s="44" t="s">
        <v>17</v>
      </c>
      <c r="B56" s="105">
        <f t="shared" si="0"/>
        <v>75147</v>
      </c>
      <c r="C56" s="106">
        <v>72469</v>
      </c>
      <c r="D56" s="106">
        <v>2678</v>
      </c>
      <c r="E56" s="106"/>
      <c r="F56" s="106"/>
      <c r="G56" s="106"/>
      <c r="H56" s="106"/>
      <c r="I56" s="106"/>
    </row>
    <row r="57" spans="1:9" ht="15" customHeight="1">
      <c r="A57" s="44" t="s">
        <v>18</v>
      </c>
      <c r="B57" s="105">
        <f t="shared" si="0"/>
        <v>96522</v>
      </c>
      <c r="C57" s="106"/>
      <c r="D57" s="106">
        <v>96522</v>
      </c>
      <c r="E57" s="106"/>
      <c r="F57" s="106"/>
      <c r="G57" s="106"/>
      <c r="H57" s="106"/>
      <c r="I57" s="106"/>
    </row>
    <row r="58" spans="1:9" ht="33.75" customHeight="1">
      <c r="A58" s="44" t="s">
        <v>58</v>
      </c>
      <c r="B58" s="105">
        <f t="shared" si="0"/>
        <v>3244</v>
      </c>
      <c r="C58" s="106"/>
      <c r="D58" s="106"/>
      <c r="E58" s="106"/>
      <c r="F58" s="106"/>
      <c r="G58" s="106"/>
      <c r="H58" s="106"/>
      <c r="I58" s="106">
        <v>3244</v>
      </c>
    </row>
    <row r="59" spans="1:9" ht="30" customHeight="1">
      <c r="A59" s="44" t="s">
        <v>60</v>
      </c>
      <c r="B59" s="105">
        <f t="shared" si="0"/>
        <v>183983</v>
      </c>
      <c r="C59" s="106">
        <v>76014</v>
      </c>
      <c r="D59" s="106">
        <f>107969+D60</f>
        <v>91265</v>
      </c>
      <c r="E59" s="106"/>
      <c r="F59" s="106"/>
      <c r="G59" s="106">
        <f>G60</f>
        <v>16704</v>
      </c>
      <c r="H59" s="106"/>
      <c r="I59" s="106"/>
    </row>
    <row r="60" spans="1:9" ht="30" customHeight="1">
      <c r="A60" s="126" t="s">
        <v>646</v>
      </c>
      <c r="B60" s="105">
        <f t="shared" si="0"/>
        <v>0</v>
      </c>
      <c r="C60" s="106"/>
      <c r="D60" s="106">
        <v>-16704</v>
      </c>
      <c r="E60" s="106"/>
      <c r="F60" s="106"/>
      <c r="G60" s="106">
        <v>16704</v>
      </c>
      <c r="H60" s="106"/>
      <c r="I60" s="106"/>
    </row>
    <row r="61" spans="1:9" ht="23.25" customHeight="1">
      <c r="A61" s="46" t="s">
        <v>183</v>
      </c>
      <c r="B61" s="105">
        <f t="shared" si="0"/>
        <v>50000</v>
      </c>
      <c r="C61" s="106"/>
      <c r="D61" s="106"/>
      <c r="E61" s="106">
        <v>50000</v>
      </c>
      <c r="F61" s="106"/>
      <c r="G61" s="106"/>
      <c r="H61" s="106"/>
      <c r="I61" s="106"/>
    </row>
    <row r="62" spans="1:9" ht="15" customHeight="1">
      <c r="A62" s="45" t="s">
        <v>63</v>
      </c>
      <c r="B62" s="105">
        <f>SUM(C62:I62)</f>
        <v>129119</v>
      </c>
      <c r="C62" s="106"/>
      <c r="D62" s="106">
        <f>114937+11226</f>
        <v>126163</v>
      </c>
      <c r="E62" s="106"/>
      <c r="F62" s="106"/>
      <c r="G62" s="106">
        <v>2956</v>
      </c>
      <c r="H62" s="106"/>
      <c r="I62" s="106"/>
    </row>
    <row r="63" spans="1:9" ht="30" customHeight="1">
      <c r="A63" s="45" t="s">
        <v>213</v>
      </c>
      <c r="B63" s="105">
        <f t="shared" si="0"/>
        <v>50713</v>
      </c>
      <c r="C63" s="106"/>
      <c r="D63" s="106">
        <f>46305+4408</f>
        <v>50713</v>
      </c>
      <c r="E63" s="106"/>
      <c r="F63" s="106"/>
      <c r="G63" s="106"/>
      <c r="H63" s="106"/>
      <c r="I63" s="106"/>
    </row>
    <row r="64" spans="1:10" ht="15" customHeight="1">
      <c r="A64" s="45" t="s">
        <v>64</v>
      </c>
      <c r="B64" s="105">
        <f t="shared" si="0"/>
        <v>36965</v>
      </c>
      <c r="C64" s="106"/>
      <c r="D64" s="106">
        <f>34688+2277</f>
        <v>36965</v>
      </c>
      <c r="E64" s="106"/>
      <c r="F64" s="106"/>
      <c r="G64" s="106"/>
      <c r="H64" s="106"/>
      <c r="I64" s="106"/>
      <c r="J64" s="59"/>
    </row>
    <row r="65" spans="1:9" ht="30" customHeight="1">
      <c r="A65" s="45" t="s">
        <v>65</v>
      </c>
      <c r="B65" s="105">
        <f t="shared" si="0"/>
        <v>25081</v>
      </c>
      <c r="C65" s="106"/>
      <c r="D65" s="106">
        <f>19249+1832+D66</f>
        <v>25081</v>
      </c>
      <c r="E65" s="106"/>
      <c r="F65" s="106"/>
      <c r="G65" s="106"/>
      <c r="H65" s="106"/>
      <c r="I65" s="106"/>
    </row>
    <row r="66" spans="1:9" ht="30" customHeight="1">
      <c r="A66" s="126" t="s">
        <v>646</v>
      </c>
      <c r="B66" s="105">
        <f t="shared" si="0"/>
        <v>4000</v>
      </c>
      <c r="C66" s="106"/>
      <c r="D66" s="106">
        <v>4000</v>
      </c>
      <c r="E66" s="106"/>
      <c r="F66" s="106"/>
      <c r="G66" s="106"/>
      <c r="H66" s="106"/>
      <c r="I66" s="106"/>
    </row>
    <row r="67" spans="1:9" ht="15" customHeight="1">
      <c r="A67" s="45" t="s">
        <v>66</v>
      </c>
      <c r="B67" s="105">
        <f t="shared" si="0"/>
        <v>57805</v>
      </c>
      <c r="C67" s="106"/>
      <c r="D67" s="106">
        <f>47038+3772</f>
        <v>50810</v>
      </c>
      <c r="E67" s="106"/>
      <c r="F67" s="106"/>
      <c r="G67" s="106">
        <v>6995</v>
      </c>
      <c r="H67" s="106"/>
      <c r="I67" s="106"/>
    </row>
    <row r="68" spans="1:9" ht="30" customHeight="1">
      <c r="A68" s="45" t="s">
        <v>67</v>
      </c>
      <c r="B68" s="105">
        <f t="shared" si="0"/>
        <v>34444</v>
      </c>
      <c r="C68" s="106"/>
      <c r="D68" s="106">
        <f>32382+2062</f>
        <v>34444</v>
      </c>
      <c r="E68" s="106"/>
      <c r="F68" s="106"/>
      <c r="G68" s="106"/>
      <c r="H68" s="106"/>
      <c r="I68" s="106"/>
    </row>
    <row r="69" spans="1:9" ht="15" customHeight="1">
      <c r="A69" s="45" t="s">
        <v>68</v>
      </c>
      <c r="B69" s="105">
        <f t="shared" si="0"/>
        <v>32803</v>
      </c>
      <c r="C69" s="106"/>
      <c r="D69" s="106">
        <f>31174+1629</f>
        <v>32803</v>
      </c>
      <c r="E69" s="106"/>
      <c r="F69" s="106"/>
      <c r="G69" s="106"/>
      <c r="H69" s="106"/>
      <c r="I69" s="106"/>
    </row>
    <row r="70" spans="1:9" ht="30" customHeight="1">
      <c r="A70" s="45" t="s">
        <v>69</v>
      </c>
      <c r="B70" s="105">
        <f t="shared" si="0"/>
        <v>110540</v>
      </c>
      <c r="C70" s="106"/>
      <c r="D70" s="106">
        <f>42118+4010+D71</f>
        <v>110540</v>
      </c>
      <c r="E70" s="106"/>
      <c r="F70" s="106"/>
      <c r="G70" s="106"/>
      <c r="H70" s="106"/>
      <c r="I70" s="106"/>
    </row>
    <row r="71" spans="1:9" ht="30" customHeight="1">
      <c r="A71" s="126" t="s">
        <v>646</v>
      </c>
      <c r="B71" s="105">
        <f t="shared" si="0"/>
        <v>64412</v>
      </c>
      <c r="C71" s="106"/>
      <c r="D71" s="106">
        <v>64412</v>
      </c>
      <c r="E71" s="106"/>
      <c r="F71" s="106"/>
      <c r="G71" s="106"/>
      <c r="H71" s="106"/>
      <c r="I71" s="106"/>
    </row>
    <row r="72" spans="1:9" ht="15" customHeight="1">
      <c r="A72" s="45" t="s">
        <v>211</v>
      </c>
      <c r="B72" s="105">
        <f t="shared" si="0"/>
        <v>14112</v>
      </c>
      <c r="C72" s="106">
        <v>3041</v>
      </c>
      <c r="D72" s="106">
        <f>10137+934</f>
        <v>11071</v>
      </c>
      <c r="E72" s="106"/>
      <c r="F72" s="106"/>
      <c r="G72" s="106"/>
      <c r="H72" s="106"/>
      <c r="I72" s="106"/>
    </row>
    <row r="73" spans="1:9" ht="30" customHeight="1">
      <c r="A73" s="45" t="s">
        <v>70</v>
      </c>
      <c r="B73" s="105">
        <f t="shared" si="0"/>
        <v>16267</v>
      </c>
      <c r="C73" s="106"/>
      <c r="D73" s="106">
        <f>14853+1414</f>
        <v>16267</v>
      </c>
      <c r="E73" s="106"/>
      <c r="F73" s="106"/>
      <c r="G73" s="106"/>
      <c r="H73" s="106"/>
      <c r="I73" s="106"/>
    </row>
    <row r="74" spans="1:9" ht="15" customHeight="1">
      <c r="A74" s="45" t="s">
        <v>209</v>
      </c>
      <c r="B74" s="105">
        <f t="shared" si="0"/>
        <v>69331</v>
      </c>
      <c r="C74" s="106"/>
      <c r="D74" s="106">
        <f>45170+4161</f>
        <v>49331</v>
      </c>
      <c r="E74" s="106"/>
      <c r="F74" s="106"/>
      <c r="G74" s="106">
        <v>20000</v>
      </c>
      <c r="H74" s="106"/>
      <c r="I74" s="106"/>
    </row>
    <row r="75" spans="1:9" ht="30" customHeight="1">
      <c r="A75" s="45" t="s">
        <v>210</v>
      </c>
      <c r="B75" s="105">
        <f t="shared" si="0"/>
        <v>34367</v>
      </c>
      <c r="C75" s="106"/>
      <c r="D75" s="106">
        <f>31380+2987</f>
        <v>34367</v>
      </c>
      <c r="E75" s="106"/>
      <c r="F75" s="106"/>
      <c r="G75" s="106"/>
      <c r="H75" s="106"/>
      <c r="I75" s="106"/>
    </row>
    <row r="76" spans="1:9" ht="15" customHeight="1">
      <c r="A76" s="45" t="s">
        <v>212</v>
      </c>
      <c r="B76" s="105">
        <f t="shared" si="0"/>
        <v>230121</v>
      </c>
      <c r="C76" s="106"/>
      <c r="D76" s="106">
        <f>29110+6011</f>
        <v>35121</v>
      </c>
      <c r="E76" s="106"/>
      <c r="F76" s="106"/>
      <c r="G76" s="106">
        <v>195000</v>
      </c>
      <c r="H76" s="106"/>
      <c r="I76" s="106"/>
    </row>
    <row r="77" spans="1:9" ht="30" customHeight="1">
      <c r="A77" s="45" t="s">
        <v>214</v>
      </c>
      <c r="B77" s="105">
        <f t="shared" si="0"/>
        <v>43410</v>
      </c>
      <c r="C77" s="106">
        <v>6797</v>
      </c>
      <c r="D77" s="106">
        <f>14030+2583</f>
        <v>16613</v>
      </c>
      <c r="E77" s="106"/>
      <c r="F77" s="106"/>
      <c r="G77" s="106">
        <v>20000</v>
      </c>
      <c r="H77" s="106"/>
      <c r="I77" s="106"/>
    </row>
    <row r="78" spans="1:9" ht="15" customHeight="1">
      <c r="A78" s="45" t="s">
        <v>215</v>
      </c>
      <c r="B78" s="105">
        <f t="shared" si="0"/>
        <v>73427</v>
      </c>
      <c r="C78" s="106"/>
      <c r="D78" s="106">
        <f>42017+4410</f>
        <v>46427</v>
      </c>
      <c r="E78" s="106"/>
      <c r="F78" s="106"/>
      <c r="G78" s="106">
        <v>27000</v>
      </c>
      <c r="H78" s="106"/>
      <c r="I78" s="106"/>
    </row>
    <row r="79" spans="1:9" ht="30" customHeight="1">
      <c r="A79" s="45" t="s">
        <v>71</v>
      </c>
      <c r="B79" s="105">
        <f t="shared" si="0"/>
        <v>42152</v>
      </c>
      <c r="C79" s="106"/>
      <c r="D79" s="106">
        <f>38735+3417</f>
        <v>42152</v>
      </c>
      <c r="E79" s="106"/>
      <c r="F79" s="106"/>
      <c r="G79" s="106"/>
      <c r="H79" s="106"/>
      <c r="I79" s="106"/>
    </row>
    <row r="80" spans="1:9" ht="15" customHeight="1">
      <c r="A80" s="45" t="s">
        <v>72</v>
      </c>
      <c r="B80" s="105">
        <f t="shared" si="0"/>
        <v>21814</v>
      </c>
      <c r="C80" s="106"/>
      <c r="D80" s="106">
        <f>20681+1133</f>
        <v>21814</v>
      </c>
      <c r="E80" s="106"/>
      <c r="F80" s="106"/>
      <c r="G80" s="106"/>
      <c r="H80" s="106"/>
      <c r="I80" s="106"/>
    </row>
    <row r="81" spans="1:9" ht="30" customHeight="1">
      <c r="A81" s="45" t="s">
        <v>218</v>
      </c>
      <c r="B81" s="105">
        <f t="shared" si="0"/>
        <v>30582</v>
      </c>
      <c r="C81" s="106">
        <v>7014</v>
      </c>
      <c r="D81" s="106">
        <f>21529+2039</f>
        <v>23568</v>
      </c>
      <c r="E81" s="106"/>
      <c r="F81" s="106"/>
      <c r="G81" s="106"/>
      <c r="H81" s="106"/>
      <c r="I81" s="106"/>
    </row>
    <row r="82" spans="1:9" ht="15" customHeight="1">
      <c r="A82" s="45" t="s">
        <v>73</v>
      </c>
      <c r="B82" s="105">
        <f t="shared" si="0"/>
        <v>27743</v>
      </c>
      <c r="C82" s="106"/>
      <c r="D82" s="106">
        <f>25715+2028</f>
        <v>27743</v>
      </c>
      <c r="E82" s="106"/>
      <c r="F82" s="106"/>
      <c r="G82" s="106"/>
      <c r="H82" s="106"/>
      <c r="I82" s="106"/>
    </row>
    <row r="83" spans="1:9" ht="30.75" customHeight="1">
      <c r="A83" s="45" t="s">
        <v>216</v>
      </c>
      <c r="B83" s="105">
        <f t="shared" si="0"/>
        <v>9699</v>
      </c>
      <c r="C83" s="106"/>
      <c r="D83" s="106">
        <f>8898+801</f>
        <v>9699</v>
      </c>
      <c r="E83" s="106"/>
      <c r="F83" s="106"/>
      <c r="G83" s="106"/>
      <c r="H83" s="106"/>
      <c r="I83" s="106"/>
    </row>
    <row r="84" spans="1:9" ht="15" customHeight="1">
      <c r="A84" s="45" t="s">
        <v>217</v>
      </c>
      <c r="B84" s="105">
        <f t="shared" si="0"/>
        <v>40967</v>
      </c>
      <c r="C84" s="106"/>
      <c r="D84" s="106">
        <f>38471+2496</f>
        <v>40967</v>
      </c>
      <c r="E84" s="106"/>
      <c r="F84" s="106"/>
      <c r="G84" s="106"/>
      <c r="H84" s="106"/>
      <c r="I84" s="106"/>
    </row>
    <row r="85" spans="1:9" ht="30" customHeight="1">
      <c r="A85" s="45" t="s">
        <v>600</v>
      </c>
      <c r="B85" s="105">
        <f t="shared" si="0"/>
        <v>120334</v>
      </c>
      <c r="C85" s="106"/>
      <c r="D85" s="106">
        <f>172339+16407+D86</f>
        <v>120334</v>
      </c>
      <c r="E85" s="106"/>
      <c r="F85" s="106"/>
      <c r="G85" s="106"/>
      <c r="H85" s="106"/>
      <c r="I85" s="106"/>
    </row>
    <row r="86" spans="1:9" ht="30" customHeight="1">
      <c r="A86" s="126" t="s">
        <v>646</v>
      </c>
      <c r="B86" s="105">
        <f t="shared" si="0"/>
        <v>-68412</v>
      </c>
      <c r="C86" s="106"/>
      <c r="D86" s="106">
        <f>-64412-4000</f>
        <v>-68412</v>
      </c>
      <c r="E86" s="106"/>
      <c r="F86" s="106"/>
      <c r="G86" s="106"/>
      <c r="H86" s="106"/>
      <c r="I86" s="106"/>
    </row>
    <row r="87" spans="1:9" ht="30" customHeight="1">
      <c r="A87" s="129" t="s">
        <v>669</v>
      </c>
      <c r="B87" s="105">
        <f t="shared" si="0"/>
        <v>88197</v>
      </c>
      <c r="C87" s="106"/>
      <c r="D87" s="106"/>
      <c r="E87" s="106"/>
      <c r="F87" s="106"/>
      <c r="G87" s="106">
        <v>88197</v>
      </c>
      <c r="H87" s="106"/>
      <c r="I87" s="106"/>
    </row>
    <row r="88" spans="1:9" ht="15" customHeight="1">
      <c r="A88" s="43" t="s">
        <v>129</v>
      </c>
      <c r="B88" s="105">
        <f t="shared" si="0"/>
        <v>176606</v>
      </c>
      <c r="C88" s="106">
        <v>2225</v>
      </c>
      <c r="D88" s="106"/>
      <c r="E88" s="106"/>
      <c r="F88" s="106"/>
      <c r="G88" s="106"/>
      <c r="H88" s="106">
        <v>171000</v>
      </c>
      <c r="I88" s="106">
        <v>3381</v>
      </c>
    </row>
    <row r="89" spans="1:9" ht="30" customHeight="1">
      <c r="A89" s="43" t="s">
        <v>130</v>
      </c>
      <c r="B89" s="105">
        <f t="shared" si="0"/>
        <v>21860</v>
      </c>
      <c r="C89" s="106">
        <v>16336</v>
      </c>
      <c r="D89" s="106">
        <v>5524</v>
      </c>
      <c r="E89" s="106"/>
      <c r="F89" s="106"/>
      <c r="G89" s="106"/>
      <c r="H89" s="106"/>
      <c r="I89" s="106"/>
    </row>
    <row r="90" spans="1:9" ht="38.25" customHeight="1">
      <c r="A90" s="44" t="s">
        <v>80</v>
      </c>
      <c r="B90" s="105">
        <f t="shared" si="0"/>
        <v>3057</v>
      </c>
      <c r="C90" s="106"/>
      <c r="D90" s="106"/>
      <c r="E90" s="106"/>
      <c r="F90" s="106"/>
      <c r="G90" s="106">
        <v>3057</v>
      </c>
      <c r="H90" s="106"/>
      <c r="I90" s="106"/>
    </row>
    <row r="91" spans="1:9" ht="42.75" customHeight="1">
      <c r="A91" s="45" t="s">
        <v>602</v>
      </c>
      <c r="B91" s="105">
        <f t="shared" si="0"/>
        <v>21910</v>
      </c>
      <c r="C91" s="106"/>
      <c r="D91" s="106">
        <v>21910</v>
      </c>
      <c r="E91" s="106"/>
      <c r="F91" s="106"/>
      <c r="G91" s="106"/>
      <c r="H91" s="106"/>
      <c r="I91" s="106"/>
    </row>
    <row r="92" spans="1:9" ht="51" customHeight="1">
      <c r="A92" s="46" t="s">
        <v>245</v>
      </c>
      <c r="B92" s="105">
        <f t="shared" si="0"/>
        <v>134310</v>
      </c>
      <c r="C92" s="106"/>
      <c r="D92" s="106"/>
      <c r="E92" s="106"/>
      <c r="F92" s="106"/>
      <c r="G92" s="106">
        <v>134310</v>
      </c>
      <c r="H92" s="106"/>
      <c r="I92" s="106"/>
    </row>
    <row r="93" spans="1:9" ht="30" customHeight="1">
      <c r="A93" s="46" t="s">
        <v>650</v>
      </c>
      <c r="B93" s="105">
        <f t="shared" si="0"/>
        <v>80000</v>
      </c>
      <c r="C93" s="106">
        <v>4360</v>
      </c>
      <c r="D93" s="106">
        <v>300</v>
      </c>
      <c r="E93" s="106"/>
      <c r="F93" s="106"/>
      <c r="G93" s="106">
        <v>75340</v>
      </c>
      <c r="H93" s="106"/>
      <c r="I93" s="106"/>
    </row>
    <row r="94" spans="1:9" ht="35.25" customHeight="1">
      <c r="A94" s="46" t="s">
        <v>651</v>
      </c>
      <c r="B94" s="105">
        <f t="shared" si="0"/>
        <v>40000</v>
      </c>
      <c r="C94" s="106"/>
      <c r="D94" s="106">
        <v>10355</v>
      </c>
      <c r="E94" s="106"/>
      <c r="F94" s="106"/>
      <c r="G94" s="106">
        <v>29645</v>
      </c>
      <c r="H94" s="106"/>
      <c r="I94" s="106"/>
    </row>
    <row r="95" spans="1:9" ht="46.5" customHeight="1">
      <c r="A95" s="46" t="s">
        <v>652</v>
      </c>
      <c r="B95" s="105">
        <f t="shared" si="0"/>
        <v>20000</v>
      </c>
      <c r="C95" s="106"/>
      <c r="D95" s="106">
        <v>8000</v>
      </c>
      <c r="E95" s="106"/>
      <c r="F95" s="106"/>
      <c r="G95" s="106">
        <v>12000</v>
      </c>
      <c r="H95" s="106"/>
      <c r="I95" s="106"/>
    </row>
    <row r="96" spans="1:9" ht="42.75" customHeight="1">
      <c r="A96" s="46" t="s">
        <v>653</v>
      </c>
      <c r="B96" s="105">
        <f t="shared" si="0"/>
        <v>67000</v>
      </c>
      <c r="C96" s="106"/>
      <c r="D96" s="106">
        <v>16443</v>
      </c>
      <c r="E96" s="106"/>
      <c r="F96" s="106"/>
      <c r="G96" s="106">
        <v>50557</v>
      </c>
      <c r="H96" s="106"/>
      <c r="I96" s="106"/>
    </row>
    <row r="97" spans="1:9" ht="36.75" customHeight="1">
      <c r="A97" s="46" t="s">
        <v>656</v>
      </c>
      <c r="B97" s="105">
        <f t="shared" si="0"/>
        <v>35786</v>
      </c>
      <c r="C97" s="106">
        <v>2796</v>
      </c>
      <c r="D97" s="106">
        <v>27490</v>
      </c>
      <c r="E97" s="106"/>
      <c r="F97" s="106"/>
      <c r="G97" s="106">
        <v>5500</v>
      </c>
      <c r="H97" s="106"/>
      <c r="I97" s="106"/>
    </row>
    <row r="98" spans="1:9" ht="42" customHeight="1">
      <c r="A98" s="46" t="s">
        <v>665</v>
      </c>
      <c r="B98" s="105">
        <f t="shared" si="0"/>
        <v>15000</v>
      </c>
      <c r="C98" s="106"/>
      <c r="D98" s="106">
        <v>15000</v>
      </c>
      <c r="E98" s="106"/>
      <c r="F98" s="106"/>
      <c r="G98" s="106"/>
      <c r="H98" s="106"/>
      <c r="I98" s="106"/>
    </row>
    <row r="99" spans="1:9" ht="30" customHeight="1">
      <c r="A99" s="44" t="s">
        <v>74</v>
      </c>
      <c r="B99" s="105">
        <f t="shared" si="1" ref="B99:B166">=SUM(C99:I99)</f>
        <v>85012</v>
      </c>
      <c r="C99" s="106"/>
      <c r="D99" s="106">
        <v>85012</v>
      </c>
      <c r="E99" s="106"/>
      <c r="F99" s="106"/>
      <c r="G99" s="106"/>
      <c r="H99" s="106"/>
      <c r="I99" s="106"/>
    </row>
    <row r="100" spans="1:9" ht="32.25" customHeight="1">
      <c r="A100" s="43" t="s">
        <v>329</v>
      </c>
      <c r="B100" s="105">
        <f t="shared" si="1"/>
        <v>10600</v>
      </c>
      <c r="C100" s="106"/>
      <c r="D100" s="106">
        <v>10600</v>
      </c>
      <c r="E100" s="106"/>
      <c r="F100" s="106"/>
      <c r="G100" s="106"/>
      <c r="H100" s="106"/>
      <c r="I100" s="106"/>
    </row>
    <row r="101" spans="1:9" ht="30" customHeight="1">
      <c r="A101" s="46" t="s">
        <v>599</v>
      </c>
      <c r="B101" s="105">
        <f t="shared" si="1"/>
        <v>6625</v>
      </c>
      <c r="C101" s="106"/>
      <c r="D101" s="106">
        <v>6625</v>
      </c>
      <c r="E101" s="106"/>
      <c r="F101" s="106"/>
      <c r="G101" s="106"/>
      <c r="H101" s="106"/>
      <c r="I101" s="106"/>
    </row>
    <row r="102" spans="1:9" ht="15" customHeight="1">
      <c r="A102" s="46" t="s">
        <v>248</v>
      </c>
      <c r="B102" s="105">
        <f t="shared" si="1"/>
        <v>5359</v>
      </c>
      <c r="C102" s="106"/>
      <c r="D102" s="106">
        <v>5359</v>
      </c>
      <c r="E102" s="106"/>
      <c r="F102" s="106"/>
      <c r="G102" s="106"/>
      <c r="H102" s="106"/>
      <c r="I102" s="106"/>
    </row>
    <row r="103" spans="1:9" ht="30" customHeight="1">
      <c r="A103" s="46" t="s">
        <v>595</v>
      </c>
      <c r="B103" s="105">
        <f t="shared" si="1"/>
        <v>5539</v>
      </c>
      <c r="C103" s="106"/>
      <c r="D103" s="106">
        <v>5539</v>
      </c>
      <c r="E103" s="106"/>
      <c r="F103" s="106"/>
      <c r="G103" s="106"/>
      <c r="H103" s="106"/>
      <c r="I103" s="106"/>
    </row>
    <row r="104" spans="1:9" ht="36" customHeight="1">
      <c r="A104" s="46" t="s">
        <v>234</v>
      </c>
      <c r="B104" s="105">
        <f t="shared" si="1"/>
        <v>4042</v>
      </c>
      <c r="C104" s="106"/>
      <c r="D104" s="106">
        <v>4042</v>
      </c>
      <c r="E104" s="106"/>
      <c r="F104" s="106"/>
      <c r="G104" s="106"/>
      <c r="H104" s="106"/>
      <c r="I104" s="106"/>
    </row>
    <row r="105" spans="1:9" ht="30" customHeight="1">
      <c r="A105" s="46" t="s">
        <v>237</v>
      </c>
      <c r="B105" s="105">
        <f t="shared" si="1"/>
        <v>6752</v>
      </c>
      <c r="C105" s="106"/>
      <c r="D105" s="106">
        <v>6752</v>
      </c>
      <c r="E105" s="106"/>
      <c r="F105" s="106"/>
      <c r="G105" s="106"/>
      <c r="H105" s="106"/>
      <c r="I105" s="106"/>
    </row>
    <row r="106" spans="1:9" ht="35.25" customHeight="1">
      <c r="A106" s="46" t="s">
        <v>135</v>
      </c>
      <c r="B106" s="105">
        <f t="shared" si="1"/>
        <v>4700</v>
      </c>
      <c r="C106" s="106"/>
      <c r="D106" s="106">
        <v>4700</v>
      </c>
      <c r="E106" s="106"/>
      <c r="F106" s="106"/>
      <c r="G106" s="106"/>
      <c r="H106" s="106"/>
      <c r="I106" s="106"/>
    </row>
    <row r="107" spans="1:9" ht="30" customHeight="1">
      <c r="A107" s="45" t="s">
        <v>330</v>
      </c>
      <c r="B107" s="105">
        <f t="shared" si="1"/>
        <v>9944</v>
      </c>
      <c r="C107" s="106"/>
      <c r="D107" s="106">
        <v>9944</v>
      </c>
      <c r="E107" s="106"/>
      <c r="F107" s="106"/>
      <c r="G107" s="106"/>
      <c r="H107" s="106"/>
      <c r="I107" s="106"/>
    </row>
    <row r="108" spans="1:9" ht="15" customHeight="1">
      <c r="A108" s="45" t="s">
        <v>594</v>
      </c>
      <c r="B108" s="105">
        <f t="shared" si="1"/>
        <v>550</v>
      </c>
      <c r="C108" s="106"/>
      <c r="D108" s="106">
        <v>550</v>
      </c>
      <c r="E108" s="106"/>
      <c r="F108" s="106"/>
      <c r="G108" s="106"/>
      <c r="H108" s="106"/>
      <c r="I108" s="106"/>
    </row>
    <row r="109" spans="1:11" ht="30" customHeight="1">
      <c r="A109" s="46" t="s">
        <v>132</v>
      </c>
      <c r="B109" s="105">
        <f t="shared" si="1"/>
        <v>10106</v>
      </c>
      <c r="C109" s="106"/>
      <c r="D109" s="106">
        <v>10106</v>
      </c>
      <c r="E109" s="106"/>
      <c r="F109" s="106"/>
      <c r="G109" s="106"/>
      <c r="H109" s="106"/>
      <c r="I109" s="106"/>
      <c r="K109" s="59"/>
    </row>
    <row r="110" spans="1:9" ht="30" customHeight="1">
      <c r="A110" s="46" t="s">
        <v>134</v>
      </c>
      <c r="B110" s="105">
        <f t="shared" si="1"/>
        <v>1513</v>
      </c>
      <c r="C110" s="106"/>
      <c r="D110" s="106">
        <v>1513</v>
      </c>
      <c r="E110" s="106"/>
      <c r="F110" s="106"/>
      <c r="G110" s="106"/>
      <c r="H110" s="106"/>
      <c r="I110" s="106"/>
    </row>
    <row r="111" spans="1:9" ht="31.5" customHeight="1">
      <c r="A111" s="45" t="s">
        <v>328</v>
      </c>
      <c r="B111" s="105">
        <f t="shared" si="1"/>
        <v>9464</v>
      </c>
      <c r="C111" s="106"/>
      <c r="D111" s="106">
        <v>9464</v>
      </c>
      <c r="E111" s="106"/>
      <c r="F111" s="106"/>
      <c r="G111" s="106"/>
      <c r="H111" s="106"/>
      <c r="I111" s="106"/>
    </row>
    <row r="112" spans="1:9" ht="27.75" customHeight="1">
      <c r="A112" s="46" t="s">
        <v>250</v>
      </c>
      <c r="B112" s="105">
        <f t="shared" si="1"/>
        <v>10230</v>
      </c>
      <c r="C112" s="106"/>
      <c r="D112" s="106">
        <v>10230</v>
      </c>
      <c r="E112" s="106"/>
      <c r="F112" s="106"/>
      <c r="G112" s="106"/>
      <c r="H112" s="106"/>
      <c r="I112" s="106"/>
    </row>
    <row r="113" spans="1:9" ht="30" customHeight="1">
      <c r="A113" s="46" t="s">
        <v>133</v>
      </c>
      <c r="B113" s="105">
        <f t="shared" si="1"/>
        <v>730</v>
      </c>
      <c r="C113" s="106"/>
      <c r="D113" s="106">
        <v>730</v>
      </c>
      <c r="E113" s="106"/>
      <c r="F113" s="106"/>
      <c r="G113" s="106"/>
      <c r="H113" s="106"/>
      <c r="I113" s="106"/>
    </row>
    <row r="114" spans="1:9" ht="32.25" customHeight="1">
      <c r="A114" s="46" t="s">
        <v>136</v>
      </c>
      <c r="B114" s="105">
        <f t="shared" si="1"/>
        <v>3508</v>
      </c>
      <c r="C114" s="106"/>
      <c r="D114" s="106">
        <v>3508</v>
      </c>
      <c r="E114" s="106"/>
      <c r="F114" s="106"/>
      <c r="G114" s="106"/>
      <c r="H114" s="106"/>
      <c r="I114" s="106"/>
    </row>
    <row r="115" spans="1:9" ht="45" customHeight="1">
      <c r="A115" s="46" t="s">
        <v>635</v>
      </c>
      <c r="B115" s="105">
        <f t="shared" si="1"/>
        <v>18269</v>
      </c>
      <c r="C115" s="106"/>
      <c r="D115" s="106">
        <v>18269</v>
      </c>
      <c r="E115" s="106"/>
      <c r="F115" s="106"/>
      <c r="G115" s="106"/>
      <c r="H115" s="106"/>
      <c r="I115" s="106"/>
    </row>
    <row r="116" spans="1:9" ht="30" customHeight="1">
      <c r="A116" s="46" t="s">
        <v>596</v>
      </c>
      <c r="B116" s="105">
        <f t="shared" si="1"/>
        <v>6870</v>
      </c>
      <c r="C116" s="106"/>
      <c r="D116" s="106">
        <v>6870</v>
      </c>
      <c r="E116" s="106"/>
      <c r="F116" s="106"/>
      <c r="G116" s="106"/>
      <c r="H116" s="106"/>
      <c r="I116" s="106"/>
    </row>
    <row r="117" spans="1:9" ht="30" customHeight="1">
      <c r="A117" s="46" t="s">
        <v>137</v>
      </c>
      <c r="B117" s="105">
        <f t="shared" si="1"/>
        <v>7985</v>
      </c>
      <c r="C117" s="106"/>
      <c r="D117" s="106">
        <v>7985</v>
      </c>
      <c r="E117" s="106"/>
      <c r="F117" s="106"/>
      <c r="G117" s="106"/>
      <c r="H117" s="106"/>
      <c r="I117" s="106"/>
    </row>
    <row r="118" spans="1:9" ht="45" customHeight="1">
      <c r="A118" s="46" t="s">
        <v>131</v>
      </c>
      <c r="B118" s="105">
        <f t="shared" si="1"/>
        <v>3510</v>
      </c>
      <c r="C118" s="106"/>
      <c r="D118" s="106">
        <v>3510</v>
      </c>
      <c r="E118" s="106"/>
      <c r="F118" s="106"/>
      <c r="G118" s="106"/>
      <c r="H118" s="106"/>
      <c r="I118" s="106"/>
    </row>
    <row r="119" spans="1:9" ht="30" customHeight="1">
      <c r="A119" s="44" t="s">
        <v>19</v>
      </c>
      <c r="B119" s="105">
        <f t="shared" si="1"/>
        <v>138101</v>
      </c>
      <c r="C119" s="106"/>
      <c r="D119" s="106">
        <v>119842</v>
      </c>
      <c r="E119" s="106"/>
      <c r="F119" s="106"/>
      <c r="G119" s="106">
        <v>18259</v>
      </c>
      <c r="H119" s="106"/>
      <c r="I119" s="106"/>
    </row>
    <row r="120" spans="1:9" ht="30" customHeight="1">
      <c r="A120" s="47" t="s">
        <v>176</v>
      </c>
      <c r="B120" s="105">
        <f t="shared" si="1"/>
        <v>6601</v>
      </c>
      <c r="C120" s="107"/>
      <c r="D120" s="106">
        <f>5541+1060</f>
        <v>6601</v>
      </c>
      <c r="E120" s="106"/>
      <c r="F120" s="106"/>
      <c r="G120" s="107"/>
      <c r="H120" s="106"/>
      <c r="I120" s="106"/>
    </row>
    <row r="121" spans="1:9" ht="30" customHeight="1">
      <c r="A121" s="130" t="s">
        <v>670</v>
      </c>
      <c r="B121" s="105">
        <f t="shared" si="1"/>
        <v>1060</v>
      </c>
      <c r="C121" s="108"/>
      <c r="D121" s="106">
        <v>1060</v>
      </c>
      <c r="E121" s="106"/>
      <c r="F121" s="106"/>
      <c r="G121" s="108"/>
      <c r="H121" s="106"/>
      <c r="I121" s="106"/>
    </row>
    <row r="122" spans="1:9" ht="45" customHeight="1">
      <c r="A122" s="47" t="s">
        <v>175</v>
      </c>
      <c r="B122" s="105">
        <f t="shared" si="1"/>
        <v>3089</v>
      </c>
      <c r="C122" s="108"/>
      <c r="D122" s="106">
        <v>3089</v>
      </c>
      <c r="E122" s="106"/>
      <c r="F122" s="106"/>
      <c r="G122" s="108"/>
      <c r="H122" s="106"/>
      <c r="I122" s="106"/>
    </row>
    <row r="123" spans="1:9" ht="33" customHeight="1">
      <c r="A123" s="44" t="s">
        <v>182</v>
      </c>
      <c r="B123" s="105">
        <f t="shared" si="1"/>
        <v>95426</v>
      </c>
      <c r="C123" s="106"/>
      <c r="D123" s="106">
        <v>95426</v>
      </c>
      <c r="E123" s="106"/>
      <c r="F123" s="106"/>
      <c r="G123" s="106"/>
      <c r="H123" s="106"/>
      <c r="I123" s="106"/>
    </row>
    <row r="124" spans="1:9" ht="30" customHeight="1">
      <c r="A124" s="44" t="s">
        <v>185</v>
      </c>
      <c r="B124" s="105">
        <f>SUM(C124:I124)</f>
        <v>205575</v>
      </c>
      <c r="C124" s="106"/>
      <c r="D124" s="106">
        <v>160391</v>
      </c>
      <c r="E124" s="106"/>
      <c r="F124" s="106"/>
      <c r="G124" s="106">
        <v>6934</v>
      </c>
      <c r="H124" s="106">
        <v>38250</v>
      </c>
      <c r="I124" s="106"/>
    </row>
    <row r="125" spans="1:9" ht="30" customHeight="1">
      <c r="A125" s="44" t="s">
        <v>20</v>
      </c>
      <c r="B125" s="105">
        <f t="shared" si="1"/>
        <v>30049</v>
      </c>
      <c r="C125" s="106">
        <v>24958</v>
      </c>
      <c r="D125" s="106">
        <v>5091</v>
      </c>
      <c r="E125" s="106"/>
      <c r="F125" s="106"/>
      <c r="G125" s="106"/>
      <c r="H125" s="106"/>
      <c r="I125" s="106"/>
    </row>
    <row r="126" spans="1:9" ht="30" customHeight="1">
      <c r="A126" s="44" t="s">
        <v>283</v>
      </c>
      <c r="B126" s="105">
        <f t="shared" si="1"/>
        <v>64424</v>
      </c>
      <c r="C126" s="106">
        <v>40502</v>
      </c>
      <c r="D126" s="106">
        <v>23922</v>
      </c>
      <c r="E126" s="106"/>
      <c r="F126" s="106"/>
      <c r="G126" s="106"/>
      <c r="H126" s="106"/>
      <c r="I126" s="106"/>
    </row>
    <row r="127" spans="1:9" ht="30" customHeight="1">
      <c r="A127" s="44" t="s">
        <v>21</v>
      </c>
      <c r="B127" s="105">
        <f t="shared" si="1"/>
        <v>34205</v>
      </c>
      <c r="C127" s="106">
        <v>29649</v>
      </c>
      <c r="D127" s="106">
        <v>4556</v>
      </c>
      <c r="E127" s="106"/>
      <c r="F127" s="106"/>
      <c r="G127" s="106"/>
      <c r="H127" s="106"/>
      <c r="I127" s="106"/>
    </row>
    <row r="128" spans="1:9" ht="30" customHeight="1">
      <c r="A128" s="44" t="s">
        <v>22</v>
      </c>
      <c r="B128" s="105">
        <f t="shared" si="1"/>
        <v>41764</v>
      </c>
      <c r="C128" s="106">
        <v>32370</v>
      </c>
      <c r="D128" s="106">
        <v>9394</v>
      </c>
      <c r="E128" s="106"/>
      <c r="F128" s="106"/>
      <c r="G128" s="106"/>
      <c r="H128" s="106"/>
      <c r="I128" s="106"/>
    </row>
    <row r="129" spans="1:9" ht="30" customHeight="1">
      <c r="A129" s="44" t="s">
        <v>23</v>
      </c>
      <c r="B129" s="105">
        <f t="shared" si="1"/>
        <v>21120</v>
      </c>
      <c r="C129" s="106">
        <v>12851</v>
      </c>
      <c r="D129" s="106">
        <v>8269</v>
      </c>
      <c r="E129" s="106"/>
      <c r="F129" s="106"/>
      <c r="G129" s="106"/>
      <c r="H129" s="106"/>
      <c r="I129" s="106"/>
    </row>
    <row r="130" spans="1:9" ht="30" customHeight="1">
      <c r="A130" s="44" t="s">
        <v>24</v>
      </c>
      <c r="B130" s="105">
        <f t="shared" si="1"/>
        <v>65563</v>
      </c>
      <c r="C130" s="106">
        <v>53633</v>
      </c>
      <c r="D130" s="106">
        <v>11930</v>
      </c>
      <c r="E130" s="106"/>
      <c r="F130" s="106"/>
      <c r="G130" s="106"/>
      <c r="H130" s="106"/>
      <c r="I130" s="106"/>
    </row>
    <row r="131" spans="1:9" ht="30" customHeight="1">
      <c r="A131" s="46" t="s">
        <v>331</v>
      </c>
      <c r="B131" s="105">
        <f t="shared" si="1"/>
        <v>78154</v>
      </c>
      <c r="C131" s="106">
        <v>26654</v>
      </c>
      <c r="D131" s="106">
        <v>51500</v>
      </c>
      <c r="E131" s="106"/>
      <c r="F131" s="106"/>
      <c r="G131" s="106"/>
      <c r="H131" s="106"/>
      <c r="I131" s="106"/>
    </row>
    <row r="132" spans="1:9" ht="30" customHeight="1">
      <c r="A132" s="47" t="s">
        <v>139</v>
      </c>
      <c r="B132" s="105">
        <f t="shared" si="1"/>
        <v>89018</v>
      </c>
      <c r="C132" s="109">
        <v>65249</v>
      </c>
      <c r="D132" s="106">
        <f>23131+D133</f>
        <v>23769</v>
      </c>
      <c r="E132" s="106"/>
      <c r="F132" s="106"/>
      <c r="G132" s="109"/>
      <c r="H132" s="106"/>
      <c r="I132" s="106"/>
    </row>
    <row r="133" spans="1:9" ht="30" customHeight="1">
      <c r="A133" s="126" t="s">
        <v>646</v>
      </c>
      <c r="B133" s="105">
        <f t="shared" si="1"/>
        <v>638</v>
      </c>
      <c r="C133" s="127"/>
      <c r="D133" s="106">
        <v>638</v>
      </c>
      <c r="E133" s="106"/>
      <c r="F133" s="106"/>
      <c r="G133" s="127"/>
      <c r="H133" s="106"/>
      <c r="I133" s="106"/>
    </row>
    <row r="134" spans="1:9" ht="30" customHeight="1">
      <c r="A134" s="44" t="s">
        <v>25</v>
      </c>
      <c r="B134" s="105">
        <f t="shared" si="1"/>
        <v>52144</v>
      </c>
      <c r="C134" s="106">
        <v>37346</v>
      </c>
      <c r="D134" s="106">
        <v>14798</v>
      </c>
      <c r="E134" s="106"/>
      <c r="F134" s="106"/>
      <c r="G134" s="106"/>
      <c r="H134" s="106"/>
      <c r="I134" s="106"/>
    </row>
    <row r="135" spans="1:9" ht="30" customHeight="1">
      <c r="A135" s="46" t="s">
        <v>332</v>
      </c>
      <c r="B135" s="105">
        <f t="shared" si="1"/>
        <v>8857</v>
      </c>
      <c r="C135" s="106">
        <v>5673</v>
      </c>
      <c r="D135" s="106">
        <v>3184</v>
      </c>
      <c r="E135" s="106"/>
      <c r="F135" s="106"/>
      <c r="G135" s="106"/>
      <c r="H135" s="106"/>
      <c r="I135" s="106"/>
    </row>
    <row r="136" spans="1:9" ht="30" customHeight="1">
      <c r="A136" s="47" t="s">
        <v>140</v>
      </c>
      <c r="B136" s="105">
        <f t="shared" si="1"/>
        <v>200551</v>
      </c>
      <c r="C136" s="109">
        <v>163629</v>
      </c>
      <c r="D136" s="106">
        <v>36922</v>
      </c>
      <c r="E136" s="106"/>
      <c r="F136" s="106"/>
      <c r="G136" s="109"/>
      <c r="H136" s="106"/>
      <c r="I136" s="106"/>
    </row>
    <row r="137" spans="1:9" ht="30" customHeight="1">
      <c r="A137" s="46" t="s">
        <v>333</v>
      </c>
      <c r="B137" s="105">
        <f t="shared" si="1"/>
        <v>7017</v>
      </c>
      <c r="C137" s="106">
        <v>4373</v>
      </c>
      <c r="D137" s="106">
        <v>2644</v>
      </c>
      <c r="E137" s="106"/>
      <c r="F137" s="106"/>
      <c r="G137" s="106"/>
      <c r="H137" s="106"/>
      <c r="I137" s="106"/>
    </row>
    <row r="138" spans="1:9" ht="30" customHeight="1">
      <c r="A138" s="44" t="s">
        <v>26</v>
      </c>
      <c r="B138" s="105">
        <f t="shared" si="1"/>
        <v>90813</v>
      </c>
      <c r="C138" s="106">
        <v>52637</v>
      </c>
      <c r="D138" s="106">
        <v>37074</v>
      </c>
      <c r="E138" s="106"/>
      <c r="F138" s="106"/>
      <c r="G138" s="106">
        <v>1102</v>
      </c>
      <c r="H138" s="106"/>
      <c r="I138" s="106"/>
    </row>
    <row r="139" spans="1:9" ht="45" customHeight="1">
      <c r="A139" s="44" t="s">
        <v>27</v>
      </c>
      <c r="B139" s="105">
        <f t="shared" si="1"/>
        <v>45796</v>
      </c>
      <c r="C139" s="106">
        <v>35954</v>
      </c>
      <c r="D139" s="106">
        <v>9842</v>
      </c>
      <c r="E139" s="106"/>
      <c r="F139" s="106"/>
      <c r="G139" s="106"/>
      <c r="H139" s="106"/>
      <c r="I139" s="106"/>
    </row>
    <row r="140" spans="1:9" ht="30" customHeight="1">
      <c r="A140" s="46" t="s">
        <v>190</v>
      </c>
      <c r="B140" s="105">
        <f t="shared" si="1"/>
        <v>4478</v>
      </c>
      <c r="C140" s="106"/>
      <c r="D140" s="106">
        <v>4478</v>
      </c>
      <c r="E140" s="106"/>
      <c r="F140" s="106"/>
      <c r="G140" s="106"/>
      <c r="H140" s="106"/>
      <c r="I140" s="106"/>
    </row>
    <row r="141" spans="1:9" ht="30" customHeight="1">
      <c r="A141" s="44" t="s">
        <v>28</v>
      </c>
      <c r="B141" s="105">
        <f t="shared" si="1"/>
        <v>91488</v>
      </c>
      <c r="C141" s="106">
        <v>77681</v>
      </c>
      <c r="D141" s="106">
        <v>8074</v>
      </c>
      <c r="E141" s="106"/>
      <c r="F141" s="106"/>
      <c r="G141" s="106">
        <v>5733</v>
      </c>
      <c r="H141" s="106"/>
      <c r="I141" s="106"/>
    </row>
    <row r="142" spans="1:9" ht="22.5" customHeight="1">
      <c r="A142" s="44" t="s">
        <v>29</v>
      </c>
      <c r="B142" s="105">
        <f t="shared" si="1"/>
        <v>1587437</v>
      </c>
      <c r="C142" s="106">
        <f>709140+C143</f>
        <v>791318</v>
      </c>
      <c r="D142" s="106">
        <f>734954+D143</f>
        <v>784272</v>
      </c>
      <c r="E142" s="106">
        <f t="shared" si="2" ref="E142:I142">=E143</f>
        <v>0</v>
      </c>
      <c r="F142" s="106">
        <f t="shared" si="2"/>
        <v>0</v>
      </c>
      <c r="G142" s="106">
        <f>8250+2600+G143</f>
        <v>11847</v>
      </c>
      <c r="H142" s="106">
        <f t="shared" si="2"/>
        <v>0</v>
      </c>
      <c r="I142" s="106">
        <f t="shared" si="2"/>
        <v>0</v>
      </c>
    </row>
    <row r="143" spans="1:9" ht="15" customHeight="1">
      <c r="A143" s="44" t="s">
        <v>233</v>
      </c>
      <c r="B143" s="105">
        <f t="shared" si="1"/>
        <v>132493</v>
      </c>
      <c r="C143" s="106">
        <v>82178</v>
      </c>
      <c r="D143" s="106">
        <v>49318</v>
      </c>
      <c r="E143" s="106"/>
      <c r="F143" s="106"/>
      <c r="G143" s="106">
        <v>997</v>
      </c>
      <c r="H143" s="106"/>
      <c r="I143" s="106"/>
    </row>
    <row r="144" spans="1:9" ht="30" customHeight="1">
      <c r="A144" s="46" t="s">
        <v>173</v>
      </c>
      <c r="B144" s="105">
        <f t="shared" si="1"/>
        <v>33391</v>
      </c>
      <c r="C144" s="106"/>
      <c r="D144" s="106">
        <v>33391</v>
      </c>
      <c r="E144" s="106"/>
      <c r="F144" s="106"/>
      <c r="G144" s="106"/>
      <c r="H144" s="106"/>
      <c r="I144" s="106"/>
    </row>
    <row r="145" spans="1:9" ht="30" customHeight="1">
      <c r="A145" s="46" t="s">
        <v>116</v>
      </c>
      <c r="B145" s="105">
        <f t="shared" si="1"/>
        <v>7500</v>
      </c>
      <c r="C145" s="106"/>
      <c r="D145" s="106">
        <v>7500</v>
      </c>
      <c r="E145" s="106"/>
      <c r="F145" s="106"/>
      <c r="G145" s="106"/>
      <c r="H145" s="106"/>
      <c r="I145" s="106"/>
    </row>
    <row r="146" spans="1:9" ht="28.5" customHeight="1">
      <c r="A146" s="46" t="s">
        <v>120</v>
      </c>
      <c r="B146" s="105">
        <f t="shared" si="1"/>
        <v>1000</v>
      </c>
      <c r="C146" s="106"/>
      <c r="D146" s="106">
        <v>1000</v>
      </c>
      <c r="E146" s="106"/>
      <c r="F146" s="106"/>
      <c r="G146" s="106"/>
      <c r="H146" s="106"/>
      <c r="I146" s="106"/>
    </row>
    <row r="147" spans="1:9" ht="37.5" customHeight="1">
      <c r="A147" s="46" t="s">
        <v>117</v>
      </c>
      <c r="B147" s="105">
        <f t="shared" si="1"/>
        <v>9827</v>
      </c>
      <c r="C147" s="106"/>
      <c r="D147" s="106">
        <v>9827</v>
      </c>
      <c r="E147" s="106"/>
      <c r="F147" s="106"/>
      <c r="G147" s="106"/>
      <c r="H147" s="106"/>
      <c r="I147" s="106"/>
    </row>
    <row r="148" spans="1:9" ht="30.75" customHeight="1">
      <c r="A148" s="46" t="s">
        <v>118</v>
      </c>
      <c r="B148" s="105">
        <f t="shared" si="1"/>
        <v>3200</v>
      </c>
      <c r="C148" s="106"/>
      <c r="D148" s="106">
        <v>3200</v>
      </c>
      <c r="E148" s="106"/>
      <c r="F148" s="106"/>
      <c r="G148" s="106"/>
      <c r="H148" s="106"/>
      <c r="I148" s="106"/>
    </row>
    <row r="149" spans="1:9" ht="30" customHeight="1">
      <c r="A149" s="44" t="s">
        <v>603</v>
      </c>
      <c r="B149" s="105">
        <f t="shared" si="1"/>
        <v>129108</v>
      </c>
      <c r="C149" s="106">
        <v>92505</v>
      </c>
      <c r="D149" s="106">
        <v>36603</v>
      </c>
      <c r="E149" s="106"/>
      <c r="F149" s="106"/>
      <c r="G149" s="106"/>
      <c r="H149" s="106"/>
      <c r="I149" s="106"/>
    </row>
    <row r="150" spans="1:9" ht="30" customHeight="1">
      <c r="A150" s="46" t="s">
        <v>102</v>
      </c>
      <c r="B150" s="105">
        <f t="shared" si="1"/>
        <v>17283</v>
      </c>
      <c r="C150" s="106">
        <v>15637</v>
      </c>
      <c r="D150" s="106">
        <f>1959+D151</f>
        <v>1646</v>
      </c>
      <c r="E150" s="106"/>
      <c r="F150" s="106"/>
      <c r="G150" s="106"/>
      <c r="H150" s="106"/>
      <c r="I150" s="106"/>
    </row>
    <row r="151" spans="1:9" ht="30" customHeight="1">
      <c r="A151" s="126" t="s">
        <v>646</v>
      </c>
      <c r="B151" s="105">
        <f t="shared" si="1"/>
        <v>-313</v>
      </c>
      <c r="C151" s="106"/>
      <c r="D151" s="106">
        <v>-313</v>
      </c>
      <c r="E151" s="106"/>
      <c r="F151" s="106"/>
      <c r="G151" s="106"/>
      <c r="H151" s="106"/>
      <c r="I151" s="106"/>
    </row>
    <row r="152" spans="1:9" ht="30" customHeight="1">
      <c r="A152" s="46" t="s">
        <v>98</v>
      </c>
      <c r="B152" s="105">
        <f t="shared" si="1"/>
        <v>16233</v>
      </c>
      <c r="C152" s="106">
        <v>13077</v>
      </c>
      <c r="D152" s="106">
        <v>3156</v>
      </c>
      <c r="E152" s="106"/>
      <c r="F152" s="106"/>
      <c r="G152" s="106"/>
      <c r="H152" s="106"/>
      <c r="I152" s="106"/>
    </row>
    <row r="153" spans="1:9" ht="30" customHeight="1">
      <c r="A153" s="46" t="s">
        <v>104</v>
      </c>
      <c r="B153" s="105">
        <f t="shared" si="1"/>
        <v>25617</v>
      </c>
      <c r="C153" s="106">
        <v>14711</v>
      </c>
      <c r="D153" s="106">
        <v>4608</v>
      </c>
      <c r="E153" s="106"/>
      <c r="F153" s="106"/>
      <c r="G153" s="106">
        <v>6298</v>
      </c>
      <c r="H153" s="106"/>
      <c r="I153" s="106"/>
    </row>
    <row r="154" spans="1:9" ht="30" customHeight="1">
      <c r="A154" s="46" t="s">
        <v>112</v>
      </c>
      <c r="B154" s="105">
        <f t="shared" si="1"/>
        <v>53391</v>
      </c>
      <c r="C154" s="106">
        <v>17297</v>
      </c>
      <c r="D154" s="106">
        <v>2574</v>
      </c>
      <c r="E154" s="106"/>
      <c r="F154" s="106"/>
      <c r="G154" s="106">
        <f>G155</f>
        <v>33520</v>
      </c>
      <c r="H154" s="106"/>
      <c r="I154" s="106"/>
    </row>
    <row r="155" spans="1:9" ht="30" customHeight="1">
      <c r="A155" s="126" t="s">
        <v>646</v>
      </c>
      <c r="B155" s="105">
        <f t="shared" si="1"/>
        <v>33520</v>
      </c>
      <c r="C155" s="106"/>
      <c r="D155" s="106"/>
      <c r="E155" s="106"/>
      <c r="F155" s="106"/>
      <c r="G155" s="106">
        <v>33520</v>
      </c>
      <c r="H155" s="106"/>
      <c r="I155" s="106"/>
    </row>
    <row r="156" spans="1:9" ht="30" customHeight="1">
      <c r="A156" s="46" t="s">
        <v>114</v>
      </c>
      <c r="B156" s="105">
        <f t="shared" si="1"/>
        <v>24403</v>
      </c>
      <c r="C156" s="106">
        <v>19021</v>
      </c>
      <c r="D156" s="106">
        <v>5382</v>
      </c>
      <c r="E156" s="106"/>
      <c r="F156" s="106"/>
      <c r="G156" s="106"/>
      <c r="H156" s="106"/>
      <c r="I156" s="106"/>
    </row>
    <row r="157" spans="1:9" ht="30" customHeight="1">
      <c r="A157" s="46" t="s">
        <v>119</v>
      </c>
      <c r="B157" s="105">
        <f t="shared" si="1"/>
        <v>207984</v>
      </c>
      <c r="C157" s="106">
        <v>173027</v>
      </c>
      <c r="D157" s="106">
        <v>34957</v>
      </c>
      <c r="E157" s="106"/>
      <c r="F157" s="106"/>
      <c r="G157" s="106"/>
      <c r="H157" s="106"/>
      <c r="I157" s="106"/>
    </row>
    <row r="158" spans="1:9" ht="30" customHeight="1">
      <c r="A158" s="46" t="s">
        <v>236</v>
      </c>
      <c r="B158" s="105">
        <f t="shared" si="1"/>
        <v>50091</v>
      </c>
      <c r="C158" s="106">
        <v>34702</v>
      </c>
      <c r="D158" s="106">
        <v>15389</v>
      </c>
      <c r="E158" s="106"/>
      <c r="F158" s="106"/>
      <c r="G158" s="106"/>
      <c r="H158" s="106"/>
      <c r="I158" s="106"/>
    </row>
    <row r="159" spans="1:9" ht="30" customHeight="1">
      <c r="A159" s="46" t="s">
        <v>109</v>
      </c>
      <c r="B159" s="105">
        <f t="shared" si="1"/>
        <v>99443</v>
      </c>
      <c r="C159" s="106">
        <v>27463</v>
      </c>
      <c r="D159" s="106">
        <v>71980</v>
      </c>
      <c r="E159" s="106"/>
      <c r="F159" s="106"/>
      <c r="G159" s="106"/>
      <c r="H159" s="106"/>
      <c r="I159" s="106"/>
    </row>
    <row r="160" spans="1:9" ht="30" customHeight="1">
      <c r="A160" s="46" t="s">
        <v>106</v>
      </c>
      <c r="B160" s="105">
        <f t="shared" si="1"/>
        <v>39564</v>
      </c>
      <c r="C160" s="106">
        <v>28269</v>
      </c>
      <c r="D160" s="106">
        <v>11295</v>
      </c>
      <c r="E160" s="106"/>
      <c r="F160" s="106"/>
      <c r="G160" s="106"/>
      <c r="H160" s="106"/>
      <c r="I160" s="106"/>
    </row>
    <row r="161" spans="1:9" ht="30" customHeight="1">
      <c r="A161" s="46" t="s">
        <v>251</v>
      </c>
      <c r="B161" s="105">
        <f t="shared" si="1"/>
        <v>56232</v>
      </c>
      <c r="C161" s="106">
        <v>34462</v>
      </c>
      <c r="D161" s="106">
        <v>21770</v>
      </c>
      <c r="E161" s="106"/>
      <c r="F161" s="106"/>
      <c r="G161" s="106"/>
      <c r="H161" s="106"/>
      <c r="I161" s="106"/>
    </row>
    <row r="162" spans="1:9" ht="30" customHeight="1">
      <c r="A162" s="46" t="s">
        <v>111</v>
      </c>
      <c r="B162" s="105">
        <f t="shared" si="1"/>
        <v>26275</v>
      </c>
      <c r="C162" s="106">
        <v>19127</v>
      </c>
      <c r="D162" s="106">
        <v>7148</v>
      </c>
      <c r="E162" s="106"/>
      <c r="F162" s="106"/>
      <c r="G162" s="106"/>
      <c r="H162" s="106"/>
      <c r="I162" s="106"/>
    </row>
    <row r="163" spans="1:9" ht="30" customHeight="1">
      <c r="A163" s="46" t="s">
        <v>99</v>
      </c>
      <c r="B163" s="105">
        <f t="shared" si="1"/>
        <v>78995</v>
      </c>
      <c r="C163" s="106">
        <v>24989</v>
      </c>
      <c r="D163" s="106">
        <v>54006</v>
      </c>
      <c r="E163" s="106"/>
      <c r="F163" s="106"/>
      <c r="G163" s="106"/>
      <c r="H163" s="106"/>
      <c r="I163" s="106"/>
    </row>
    <row r="164" spans="1:9" ht="30" customHeight="1">
      <c r="A164" s="46" t="s">
        <v>101</v>
      </c>
      <c r="B164" s="105">
        <f t="shared" si="1"/>
        <v>97125</v>
      </c>
      <c r="C164" s="106">
        <v>27726</v>
      </c>
      <c r="D164" s="106">
        <v>69399</v>
      </c>
      <c r="E164" s="106"/>
      <c r="F164" s="106"/>
      <c r="G164" s="106"/>
      <c r="H164" s="106"/>
      <c r="I164" s="106"/>
    </row>
    <row r="165" spans="1:9" ht="30" customHeight="1">
      <c r="A165" s="43" t="s">
        <v>196</v>
      </c>
      <c r="B165" s="105">
        <f t="shared" si="1"/>
        <v>2843</v>
      </c>
      <c r="C165" s="106"/>
      <c r="D165" s="106">
        <v>2843</v>
      </c>
      <c r="E165" s="106"/>
      <c r="F165" s="106"/>
      <c r="G165" s="106"/>
      <c r="H165" s="106"/>
      <c r="I165" s="106"/>
    </row>
    <row r="166" spans="1:9" ht="30" customHeight="1">
      <c r="A166" s="43" t="s">
        <v>195</v>
      </c>
      <c r="B166" s="105">
        <f t="shared" si="1"/>
        <v>12584</v>
      </c>
      <c r="C166" s="106"/>
      <c r="D166" s="106">
        <v>12584</v>
      </c>
      <c r="E166" s="106"/>
      <c r="F166" s="106"/>
      <c r="G166" s="106"/>
      <c r="H166" s="106"/>
      <c r="I166" s="106"/>
    </row>
    <row r="167" spans="1:9" ht="15" customHeight="1">
      <c r="A167" s="46" t="s">
        <v>589</v>
      </c>
      <c r="B167" s="105">
        <f t="shared" si="3" ref="B167:B236">=SUM(C167:I167)</f>
        <v>2622</v>
      </c>
      <c r="C167" s="106"/>
      <c r="D167" s="106">
        <v>2622</v>
      </c>
      <c r="E167" s="106"/>
      <c r="F167" s="106"/>
      <c r="G167" s="106"/>
      <c r="H167" s="106"/>
      <c r="I167" s="106"/>
    </row>
    <row r="168" spans="1:9" ht="15" customHeight="1">
      <c r="A168" s="46" t="s">
        <v>249</v>
      </c>
      <c r="B168" s="105">
        <f t="shared" si="3"/>
        <v>4769</v>
      </c>
      <c r="C168" s="106"/>
      <c r="D168" s="106">
        <v>4769</v>
      </c>
      <c r="E168" s="106"/>
      <c r="F168" s="106"/>
      <c r="G168" s="106"/>
      <c r="H168" s="106"/>
      <c r="I168" s="106"/>
    </row>
    <row r="169" spans="1:9" ht="30" customHeight="1">
      <c r="A169" s="46" t="s">
        <v>590</v>
      </c>
      <c r="B169" s="105">
        <f t="shared" si="3"/>
        <v>6768</v>
      </c>
      <c r="C169" s="106">
        <v>2138</v>
      </c>
      <c r="D169" s="106">
        <v>4630</v>
      </c>
      <c r="E169" s="106"/>
      <c r="F169" s="106"/>
      <c r="G169" s="106"/>
      <c r="H169" s="106"/>
      <c r="I169" s="106"/>
    </row>
    <row r="170" spans="1:9" ht="30" customHeight="1">
      <c r="A170" s="46" t="s">
        <v>235</v>
      </c>
      <c r="B170" s="105">
        <f t="shared" si="3"/>
        <v>4691</v>
      </c>
      <c r="C170" s="106"/>
      <c r="D170" s="106">
        <f>3791+D171</f>
        <v>4691</v>
      </c>
      <c r="E170" s="106"/>
      <c r="F170" s="106"/>
      <c r="G170" s="106"/>
      <c r="H170" s="106"/>
      <c r="I170" s="106"/>
    </row>
    <row r="171" spans="1:9" ht="30" customHeight="1">
      <c r="A171" s="126" t="s">
        <v>646</v>
      </c>
      <c r="B171" s="105">
        <f t="shared" si="3"/>
        <v>900</v>
      </c>
      <c r="C171" s="106"/>
      <c r="D171" s="106">
        <v>900</v>
      </c>
      <c r="E171" s="106"/>
      <c r="F171" s="106"/>
      <c r="G171" s="106"/>
      <c r="H171" s="106"/>
      <c r="I171" s="106"/>
    </row>
    <row r="172" spans="1:9" ht="30" customHeight="1">
      <c r="A172" s="46" t="s">
        <v>238</v>
      </c>
      <c r="B172" s="105">
        <f t="shared" si="3"/>
        <v>5348</v>
      </c>
      <c r="C172" s="106"/>
      <c r="D172" s="106">
        <v>5348</v>
      </c>
      <c r="E172" s="106"/>
      <c r="F172" s="106"/>
      <c r="G172" s="106"/>
      <c r="H172" s="106"/>
      <c r="I172" s="106"/>
    </row>
    <row r="173" spans="1:9" ht="30" customHeight="1">
      <c r="A173" s="46" t="s">
        <v>110</v>
      </c>
      <c r="B173" s="105">
        <f t="shared" si="3"/>
        <v>13746</v>
      </c>
      <c r="C173" s="106">
        <v>8746</v>
      </c>
      <c r="D173" s="106">
        <v>5000</v>
      </c>
      <c r="E173" s="106"/>
      <c r="F173" s="106"/>
      <c r="G173" s="106"/>
      <c r="H173" s="106"/>
      <c r="I173" s="106"/>
    </row>
    <row r="174" spans="1:9" ht="30" customHeight="1">
      <c r="A174" s="48" t="s">
        <v>141</v>
      </c>
      <c r="B174" s="105">
        <f t="shared" si="3"/>
        <v>9097</v>
      </c>
      <c r="C174" s="110"/>
      <c r="D174" s="106">
        <v>9097</v>
      </c>
      <c r="E174" s="106"/>
      <c r="F174" s="106"/>
      <c r="G174" s="110"/>
      <c r="H174" s="106"/>
      <c r="I174" s="106"/>
    </row>
    <row r="175" spans="1:9" ht="30" customHeight="1">
      <c r="A175" s="46" t="s">
        <v>591</v>
      </c>
      <c r="B175" s="105">
        <f t="shared" si="3"/>
        <v>2783</v>
      </c>
      <c r="C175" s="111"/>
      <c r="D175" s="106">
        <v>2783</v>
      </c>
      <c r="E175" s="106"/>
      <c r="F175" s="106"/>
      <c r="G175" s="111"/>
      <c r="H175" s="106"/>
      <c r="I175" s="106"/>
    </row>
    <row r="176" spans="1:9" ht="30" customHeight="1">
      <c r="A176" s="46" t="s">
        <v>103</v>
      </c>
      <c r="B176" s="105">
        <f t="shared" si="3"/>
        <v>5313</v>
      </c>
      <c r="C176" s="106"/>
      <c r="D176" s="106">
        <v>5313</v>
      </c>
      <c r="E176" s="106"/>
      <c r="F176" s="106"/>
      <c r="G176" s="106"/>
      <c r="H176" s="106"/>
      <c r="I176" s="106"/>
    </row>
    <row r="177" spans="1:9" ht="30" customHeight="1">
      <c r="A177" s="46" t="s">
        <v>107</v>
      </c>
      <c r="B177" s="105">
        <f t="shared" si="3"/>
        <v>2977</v>
      </c>
      <c r="C177" s="106"/>
      <c r="D177" s="106">
        <v>2977</v>
      </c>
      <c r="E177" s="106"/>
      <c r="F177" s="106"/>
      <c r="G177" s="106"/>
      <c r="H177" s="106"/>
      <c r="I177" s="106"/>
    </row>
    <row r="178" spans="1:9" ht="30" customHeight="1">
      <c r="A178" s="48" t="s">
        <v>142</v>
      </c>
      <c r="B178" s="105">
        <f t="shared" si="3"/>
        <v>9246</v>
      </c>
      <c r="C178" s="110"/>
      <c r="D178" s="106">
        <v>9246</v>
      </c>
      <c r="E178" s="106"/>
      <c r="F178" s="106"/>
      <c r="G178" s="110"/>
      <c r="H178" s="106"/>
      <c r="I178" s="106"/>
    </row>
    <row r="179" spans="1:9" ht="30" customHeight="1">
      <c r="A179" s="46" t="s">
        <v>108</v>
      </c>
      <c r="B179" s="105">
        <f t="shared" si="3"/>
        <v>2490</v>
      </c>
      <c r="C179" s="106"/>
      <c r="D179" s="106">
        <v>2490</v>
      </c>
      <c r="E179" s="106"/>
      <c r="F179" s="106"/>
      <c r="G179" s="106"/>
      <c r="H179" s="106"/>
      <c r="I179" s="106"/>
    </row>
    <row r="180" spans="1:9" ht="30" customHeight="1">
      <c r="A180" s="46" t="s">
        <v>252</v>
      </c>
      <c r="B180" s="105">
        <f t="shared" si="3"/>
        <v>8746</v>
      </c>
      <c r="C180" s="106"/>
      <c r="D180" s="106">
        <v>8746</v>
      </c>
      <c r="E180" s="106"/>
      <c r="F180" s="106"/>
      <c r="G180" s="106"/>
      <c r="H180" s="106"/>
      <c r="I180" s="106"/>
    </row>
    <row r="181" spans="1:9" ht="15" customHeight="1">
      <c r="A181" s="46" t="s">
        <v>105</v>
      </c>
      <c r="B181" s="105">
        <f t="shared" si="3"/>
        <v>2315</v>
      </c>
      <c r="C181" s="106"/>
      <c r="D181" s="106">
        <v>2315</v>
      </c>
      <c r="E181" s="106"/>
      <c r="F181" s="106"/>
      <c r="G181" s="106"/>
      <c r="H181" s="106"/>
      <c r="I181" s="106"/>
    </row>
    <row r="182" spans="1:9" ht="30" customHeight="1">
      <c r="A182" s="46" t="s">
        <v>587</v>
      </c>
      <c r="B182" s="105">
        <f t="shared" si="3"/>
        <v>3500</v>
      </c>
      <c r="C182" s="106"/>
      <c r="D182" s="106">
        <f>2300+1200</f>
        <v>3500</v>
      </c>
      <c r="E182" s="106"/>
      <c r="F182" s="106"/>
      <c r="G182" s="106"/>
      <c r="H182" s="106"/>
      <c r="I182" s="106"/>
    </row>
    <row r="183" spans="1:9" ht="30" customHeight="1">
      <c r="A183" s="46" t="s">
        <v>113</v>
      </c>
      <c r="B183" s="105">
        <f t="shared" si="3"/>
        <v>3974</v>
      </c>
      <c r="C183" s="106"/>
      <c r="D183" s="106">
        <v>3974</v>
      </c>
      <c r="E183" s="106"/>
      <c r="F183" s="106"/>
      <c r="G183" s="106"/>
      <c r="H183" s="106"/>
      <c r="I183" s="106"/>
    </row>
    <row r="184" spans="1:9" ht="30" customHeight="1">
      <c r="A184" s="46" t="s">
        <v>100</v>
      </c>
      <c r="B184" s="105">
        <f t="shared" si="3"/>
        <v>34480</v>
      </c>
      <c r="C184" s="106">
        <v>26611</v>
      </c>
      <c r="D184" s="106">
        <v>7869</v>
      </c>
      <c r="E184" s="106"/>
      <c r="F184" s="106"/>
      <c r="G184" s="106"/>
      <c r="H184" s="106"/>
      <c r="I184" s="106"/>
    </row>
    <row r="185" spans="1:9" ht="30" customHeight="1">
      <c r="A185" s="46" t="s">
        <v>597</v>
      </c>
      <c r="B185" s="105">
        <f t="shared" si="3"/>
        <v>2840</v>
      </c>
      <c r="C185" s="106"/>
      <c r="D185" s="106">
        <v>2840</v>
      </c>
      <c r="E185" s="106"/>
      <c r="F185" s="106"/>
      <c r="G185" s="106"/>
      <c r="H185" s="106"/>
      <c r="I185" s="106"/>
    </row>
    <row r="186" spans="1:9" ht="30" customHeight="1">
      <c r="A186" s="46" t="s">
        <v>115</v>
      </c>
      <c r="B186" s="105">
        <f t="shared" si="3"/>
        <v>12964</v>
      </c>
      <c r="C186" s="106">
        <v>10084</v>
      </c>
      <c r="D186" s="106">
        <v>2880</v>
      </c>
      <c r="E186" s="106"/>
      <c r="F186" s="106"/>
      <c r="G186" s="106"/>
      <c r="H186" s="106"/>
      <c r="I186" s="106"/>
    </row>
    <row r="187" spans="1:9" ht="30" customHeight="1">
      <c r="A187" s="47" t="s">
        <v>138</v>
      </c>
      <c r="B187" s="105">
        <f t="shared" si="3"/>
        <v>26000</v>
      </c>
      <c r="C187" s="110"/>
      <c r="D187" s="106">
        <v>0</v>
      </c>
      <c r="E187" s="106"/>
      <c r="F187" s="106"/>
      <c r="G187" s="109">
        <v>26000</v>
      </c>
      <c r="H187" s="106"/>
      <c r="I187" s="106"/>
    </row>
    <row r="188" spans="1:9" ht="30" customHeight="1">
      <c r="A188" s="55" t="s">
        <v>287</v>
      </c>
      <c r="B188" s="105">
        <f t="shared" si="3"/>
        <v>15781</v>
      </c>
      <c r="C188" s="106">
        <f>3887+8978+667</f>
        <v>13532</v>
      </c>
      <c r="D188" s="106">
        <v>2249</v>
      </c>
      <c r="E188" s="106"/>
      <c r="F188" s="106"/>
      <c r="G188" s="106"/>
      <c r="H188" s="106"/>
      <c r="I188" s="106"/>
    </row>
    <row r="189" spans="1:9" ht="15" customHeight="1">
      <c r="A189" s="55" t="s">
        <v>288</v>
      </c>
      <c r="B189" s="105">
        <f t="shared" si="3"/>
        <v>14224</v>
      </c>
      <c r="C189" s="106">
        <f>8772+2920+667</f>
        <v>12359</v>
      </c>
      <c r="D189" s="106">
        <v>1865</v>
      </c>
      <c r="E189" s="106"/>
      <c r="F189" s="106"/>
      <c r="G189" s="106"/>
      <c r="H189" s="106"/>
      <c r="I189" s="106"/>
    </row>
    <row r="190" spans="1:9" ht="15" customHeight="1">
      <c r="A190" s="55" t="s">
        <v>289</v>
      </c>
      <c r="B190" s="105">
        <f t="shared" si="3"/>
        <v>12687</v>
      </c>
      <c r="C190" s="106">
        <f>1333+8978+667</f>
        <v>10978</v>
      </c>
      <c r="D190" s="106">
        <v>1709</v>
      </c>
      <c r="E190" s="106"/>
      <c r="F190" s="106"/>
      <c r="G190" s="106"/>
      <c r="H190" s="106"/>
      <c r="I190" s="106"/>
    </row>
    <row r="191" spans="1:9" ht="30" customHeight="1">
      <c r="A191" s="55" t="s">
        <v>144</v>
      </c>
      <c r="B191" s="105">
        <f t="shared" si="3"/>
        <v>11928</v>
      </c>
      <c r="C191" s="106">
        <f>374+8772+667</f>
        <v>9813</v>
      </c>
      <c r="D191" s="106">
        <v>2115</v>
      </c>
      <c r="E191" s="106"/>
      <c r="F191" s="106"/>
      <c r="G191" s="106"/>
      <c r="H191" s="106"/>
      <c r="I191" s="106"/>
    </row>
    <row r="192" spans="1:9" ht="30" customHeight="1">
      <c r="A192" s="55" t="s">
        <v>290</v>
      </c>
      <c r="B192" s="105">
        <f t="shared" si="3"/>
        <v>11820</v>
      </c>
      <c r="C192" s="106">
        <f>366+8772+667</f>
        <v>9805</v>
      </c>
      <c r="D192" s="106">
        <v>2015</v>
      </c>
      <c r="E192" s="106"/>
      <c r="F192" s="106"/>
      <c r="G192" s="106"/>
      <c r="H192" s="106"/>
      <c r="I192" s="106"/>
    </row>
    <row r="193" spans="1:9" ht="30" customHeight="1">
      <c r="A193" s="55" t="s">
        <v>291</v>
      </c>
      <c r="B193" s="105">
        <f t="shared" si="3"/>
        <v>14324</v>
      </c>
      <c r="C193" s="109">
        <f>8772+2920+667</f>
        <v>12359</v>
      </c>
      <c r="D193" s="106">
        <v>1965</v>
      </c>
      <c r="E193" s="110"/>
      <c r="F193" s="110"/>
      <c r="G193" s="110"/>
      <c r="H193" s="110"/>
      <c r="I193" s="110"/>
    </row>
    <row r="194" spans="1:9" ht="30" customHeight="1">
      <c r="A194" s="56" t="s">
        <v>292</v>
      </c>
      <c r="B194" s="105">
        <f t="shared" si="3"/>
        <v>15270</v>
      </c>
      <c r="C194" s="106">
        <f>8772+3006+667</f>
        <v>12445</v>
      </c>
      <c r="D194" s="106">
        <v>2825</v>
      </c>
      <c r="E194" s="106"/>
      <c r="F194" s="106"/>
      <c r="G194" s="106"/>
      <c r="H194" s="106"/>
      <c r="I194" s="106"/>
    </row>
    <row r="195" spans="1:9" ht="30" customHeight="1">
      <c r="A195" s="55" t="s">
        <v>293</v>
      </c>
      <c r="B195" s="105">
        <f t="shared" si="3"/>
        <v>17259</v>
      </c>
      <c r="C195" s="106">
        <f>2920+8772+667</f>
        <v>12359</v>
      </c>
      <c r="D195" s="106">
        <v>4900</v>
      </c>
      <c r="E195" s="106"/>
      <c r="F195" s="106"/>
      <c r="G195" s="106"/>
      <c r="H195" s="106"/>
      <c r="I195" s="106"/>
    </row>
    <row r="196" spans="1:9" ht="30" customHeight="1">
      <c r="A196" s="55" t="s">
        <v>294</v>
      </c>
      <c r="B196" s="105">
        <f t="shared" si="3"/>
        <v>11728</v>
      </c>
      <c r="C196" s="106">
        <f>374+8772+667</f>
        <v>9813</v>
      </c>
      <c r="D196" s="106">
        <v>1915</v>
      </c>
      <c r="E196" s="106"/>
      <c r="F196" s="106"/>
      <c r="G196" s="106"/>
      <c r="H196" s="106"/>
      <c r="I196" s="106"/>
    </row>
    <row r="197" spans="1:9" ht="15" customHeight="1">
      <c r="A197" s="47" t="s">
        <v>181</v>
      </c>
      <c r="B197" s="105">
        <f t="shared" si="3"/>
        <v>34886</v>
      </c>
      <c r="C197" s="109">
        <v>15699</v>
      </c>
      <c r="D197" s="106">
        <v>19187</v>
      </c>
      <c r="E197" s="110"/>
      <c r="F197" s="110"/>
      <c r="G197" s="110"/>
      <c r="H197" s="110"/>
      <c r="I197" s="110"/>
    </row>
    <row r="198" spans="1:9" ht="30" customHeight="1">
      <c r="A198" s="45" t="s">
        <v>57</v>
      </c>
      <c r="B198" s="105">
        <f t="shared" si="3"/>
        <v>45525</v>
      </c>
      <c r="C198" s="106"/>
      <c r="D198" s="106">
        <v>45525</v>
      </c>
      <c r="E198" s="106"/>
      <c r="F198" s="106"/>
      <c r="G198" s="106"/>
      <c r="H198" s="106"/>
      <c r="I198" s="106"/>
    </row>
    <row r="199" spans="1:9" ht="30" customHeight="1">
      <c r="A199" s="47" t="s">
        <v>244</v>
      </c>
      <c r="B199" s="105">
        <f t="shared" si="3"/>
        <v>15805</v>
      </c>
      <c r="C199" s="107"/>
      <c r="D199" s="106">
        <v>14305</v>
      </c>
      <c r="E199" s="110"/>
      <c r="F199" s="110"/>
      <c r="G199" s="110">
        <v>1500</v>
      </c>
      <c r="H199" s="107"/>
      <c r="I199" s="110"/>
    </row>
    <row r="200" spans="1:9" ht="30" customHeight="1">
      <c r="A200" s="46" t="s">
        <v>143</v>
      </c>
      <c r="B200" s="105">
        <f t="shared" si="3"/>
        <v>3245</v>
      </c>
      <c r="C200" s="106"/>
      <c r="D200" s="106">
        <v>3245</v>
      </c>
      <c r="E200" s="106"/>
      <c r="F200" s="106"/>
      <c r="G200" s="106"/>
      <c r="H200" s="106"/>
      <c r="I200" s="106"/>
    </row>
    <row r="201" spans="1:9" ht="15" customHeight="1">
      <c r="A201" s="46" t="s">
        <v>206</v>
      </c>
      <c r="B201" s="105">
        <f t="shared" si="3"/>
        <v>5733</v>
      </c>
      <c r="C201" s="106"/>
      <c r="D201" s="106">
        <v>5733</v>
      </c>
      <c r="E201" s="106"/>
      <c r="F201" s="106"/>
      <c r="G201" s="106"/>
      <c r="H201" s="106"/>
      <c r="I201" s="106"/>
    </row>
    <row r="202" spans="1:9" ht="30" customHeight="1">
      <c r="A202" s="44" t="s">
        <v>167</v>
      </c>
      <c r="B202" s="105">
        <f t="shared" si="3"/>
        <v>83744</v>
      </c>
      <c r="C202" s="106">
        <v>76892</v>
      </c>
      <c r="D202" s="106">
        <v>6852</v>
      </c>
      <c r="E202" s="106"/>
      <c r="F202" s="106"/>
      <c r="G202" s="106"/>
      <c r="H202" s="106"/>
      <c r="I202" s="106"/>
    </row>
    <row r="203" spans="1:9" ht="15" customHeight="1">
      <c r="A203" s="44" t="s">
        <v>199</v>
      </c>
      <c r="B203" s="105">
        <f t="shared" si="3"/>
        <v>44140</v>
      </c>
      <c r="C203" s="106">
        <v>2143</v>
      </c>
      <c r="D203" s="106">
        <v>41997</v>
      </c>
      <c r="E203" s="106"/>
      <c r="F203" s="106"/>
      <c r="G203" s="106"/>
      <c r="H203" s="106"/>
      <c r="I203" s="106"/>
    </row>
    <row r="204" spans="1:9" ht="30" customHeight="1">
      <c r="A204" s="44" t="s">
        <v>30</v>
      </c>
      <c r="B204" s="105">
        <f t="shared" si="3"/>
        <v>12286</v>
      </c>
      <c r="C204" s="106">
        <v>400</v>
      </c>
      <c r="D204" s="106">
        <v>11886</v>
      </c>
      <c r="E204" s="106"/>
      <c r="F204" s="106"/>
      <c r="G204" s="106"/>
      <c r="H204" s="106"/>
      <c r="I204" s="106"/>
    </row>
    <row r="205" spans="1:9" ht="30" customHeight="1">
      <c r="A205" s="44" t="s">
        <v>220</v>
      </c>
      <c r="B205" s="105">
        <f t="shared" si="3"/>
        <v>23496</v>
      </c>
      <c r="C205" s="106">
        <v>18974</v>
      </c>
      <c r="D205" s="106">
        <v>4522</v>
      </c>
      <c r="E205" s="106"/>
      <c r="F205" s="106"/>
      <c r="G205" s="106"/>
      <c r="H205" s="106"/>
      <c r="I205" s="106"/>
    </row>
    <row r="206" spans="1:9" ht="30" customHeight="1">
      <c r="A206" s="44" t="s">
        <v>31</v>
      </c>
      <c r="B206" s="105">
        <f t="shared" si="3"/>
        <v>531006</v>
      </c>
      <c r="C206" s="106">
        <f>450908+C207</f>
        <v>458917</v>
      </c>
      <c r="D206" s="106">
        <f>46432+D207</f>
        <v>47689</v>
      </c>
      <c r="E206" s="106"/>
      <c r="F206" s="106"/>
      <c r="G206" s="106">
        <v>24400</v>
      </c>
      <c r="H206" s="106"/>
      <c r="I206" s="106"/>
    </row>
    <row r="207" spans="1:9" ht="30" customHeight="1">
      <c r="A207" s="126" t="s">
        <v>646</v>
      </c>
      <c r="B207" s="105">
        <f t="shared" si="3"/>
        <v>9266</v>
      </c>
      <c r="C207" s="106">
        <v>8009</v>
      </c>
      <c r="D207" s="106">
        <v>1257</v>
      </c>
      <c r="E207" s="106"/>
      <c r="F207" s="106"/>
      <c r="G207" s="106"/>
      <c r="H207" s="106"/>
      <c r="I207" s="106"/>
    </row>
    <row r="208" spans="1:9" ht="30" customHeight="1">
      <c r="A208" s="45" t="s">
        <v>77</v>
      </c>
      <c r="B208" s="105">
        <f t="shared" si="3"/>
        <v>134974</v>
      </c>
      <c r="C208" s="106">
        <v>106155</v>
      </c>
      <c r="D208" s="106">
        <v>28819</v>
      </c>
      <c r="E208" s="106"/>
      <c r="F208" s="106"/>
      <c r="G208" s="106"/>
      <c r="H208" s="106"/>
      <c r="I208" s="106"/>
    </row>
    <row r="209" spans="1:9" ht="30" customHeight="1">
      <c r="A209" s="45" t="s">
        <v>145</v>
      </c>
      <c r="B209" s="105">
        <f t="shared" si="3"/>
        <v>54020</v>
      </c>
      <c r="C209" s="106">
        <v>47113</v>
      </c>
      <c r="D209" s="106">
        <v>6807</v>
      </c>
      <c r="E209" s="106"/>
      <c r="F209" s="106"/>
      <c r="G209" s="106">
        <v>100</v>
      </c>
      <c r="H209" s="106"/>
      <c r="I209" s="106"/>
    </row>
    <row r="210" spans="1:9" ht="30" customHeight="1">
      <c r="A210" s="47" t="s">
        <v>126</v>
      </c>
      <c r="B210" s="105">
        <f t="shared" si="3"/>
        <v>13729</v>
      </c>
      <c r="C210" s="112">
        <v>12137</v>
      </c>
      <c r="D210" s="106">
        <v>1592</v>
      </c>
      <c r="E210" s="113"/>
      <c r="F210" s="113"/>
      <c r="G210" s="113"/>
      <c r="H210" s="113"/>
      <c r="I210" s="113"/>
    </row>
    <row r="211" spans="1:9" ht="30" customHeight="1">
      <c r="A211" s="46" t="s">
        <v>125</v>
      </c>
      <c r="B211" s="105">
        <f t="shared" si="3"/>
        <v>44813</v>
      </c>
      <c r="C211" s="106">
        <v>30889</v>
      </c>
      <c r="D211" s="106">
        <f>13551+D212</f>
        <v>13924</v>
      </c>
      <c r="E211" s="106"/>
      <c r="F211" s="106"/>
      <c r="G211" s="106"/>
      <c r="H211" s="106"/>
      <c r="I211" s="106"/>
    </row>
    <row r="212" spans="1:9" ht="15" customHeight="1">
      <c r="A212" s="131" t="s">
        <v>646</v>
      </c>
      <c r="B212" s="105">
        <f t="shared" si="3"/>
        <v>373</v>
      </c>
      <c r="C212" s="106"/>
      <c r="D212" s="106">
        <v>373</v>
      </c>
      <c r="E212" s="106"/>
      <c r="F212" s="106"/>
      <c r="G212" s="106"/>
      <c r="H212" s="106"/>
      <c r="I212" s="106"/>
    </row>
    <row r="213" spans="1:9" ht="30.75" customHeight="1">
      <c r="A213" s="46" t="s">
        <v>124</v>
      </c>
      <c r="B213" s="105">
        <f t="shared" si="3"/>
        <v>15181</v>
      </c>
      <c r="C213" s="106">
        <v>11523</v>
      </c>
      <c r="D213" s="106">
        <v>3658</v>
      </c>
      <c r="E213" s="106"/>
      <c r="F213" s="106"/>
      <c r="G213" s="106"/>
      <c r="H213" s="106"/>
      <c r="I213" s="106"/>
    </row>
    <row r="214" spans="1:9" ht="15" customHeight="1">
      <c r="A214" s="44" t="s">
        <v>75</v>
      </c>
      <c r="B214" s="105">
        <f t="shared" si="3"/>
        <v>267331</v>
      </c>
      <c r="C214" s="106">
        <v>204628</v>
      </c>
      <c r="D214" s="106">
        <v>62703</v>
      </c>
      <c r="E214" s="106"/>
      <c r="F214" s="106"/>
      <c r="G214" s="106"/>
      <c r="H214" s="106"/>
      <c r="I214" s="106"/>
    </row>
    <row r="215" spans="1:9" ht="15" customHeight="1">
      <c r="A215" s="44" t="s">
        <v>32</v>
      </c>
      <c r="B215" s="105">
        <f t="shared" si="3"/>
        <v>112906</v>
      </c>
      <c r="C215" s="106">
        <v>3685</v>
      </c>
      <c r="D215" s="106">
        <f>108221+D216</f>
        <v>109221</v>
      </c>
      <c r="E215" s="106"/>
      <c r="F215" s="106"/>
      <c r="G215" s="106"/>
      <c r="H215" s="106"/>
      <c r="I215" s="106"/>
    </row>
    <row r="216" spans="1:9" ht="15" customHeight="1">
      <c r="A216" s="131" t="s">
        <v>646</v>
      </c>
      <c r="B216" s="105">
        <f t="shared" si="3"/>
        <v>1000</v>
      </c>
      <c r="C216" s="106"/>
      <c r="D216" s="106">
        <v>1000</v>
      </c>
      <c r="E216" s="106"/>
      <c r="F216" s="106"/>
      <c r="G216" s="106"/>
      <c r="H216" s="106"/>
      <c r="I216" s="106"/>
    </row>
    <row r="217" spans="1:9" ht="15" customHeight="1">
      <c r="A217" s="46" t="s">
        <v>620</v>
      </c>
      <c r="B217" s="105">
        <f t="shared" si="3"/>
        <v>46924</v>
      </c>
      <c r="C217" s="106">
        <v>44791</v>
      </c>
      <c r="D217" s="106">
        <v>2133</v>
      </c>
      <c r="E217" s="106"/>
      <c r="F217" s="106"/>
      <c r="G217" s="106"/>
      <c r="H217" s="106"/>
      <c r="I217" s="106"/>
    </row>
    <row r="218" spans="1:9" ht="15" customHeight="1">
      <c r="A218" s="46" t="s">
        <v>161</v>
      </c>
      <c r="B218" s="105">
        <f t="shared" si="3"/>
        <v>10531</v>
      </c>
      <c r="C218" s="106">
        <v>4732</v>
      </c>
      <c r="D218" s="106">
        <v>5799</v>
      </c>
      <c r="E218" s="106"/>
      <c r="F218" s="106"/>
      <c r="G218" s="106"/>
      <c r="H218" s="106"/>
      <c r="I218" s="106"/>
    </row>
    <row r="219" spans="1:9" ht="15" customHeight="1">
      <c r="A219" s="44" t="s">
        <v>192</v>
      </c>
      <c r="B219" s="105">
        <f t="shared" si="3"/>
        <v>47041</v>
      </c>
      <c r="C219" s="106">
        <v>37858</v>
      </c>
      <c r="D219" s="106">
        <f>7599+D220</f>
        <v>9183</v>
      </c>
      <c r="E219" s="106"/>
      <c r="F219" s="106"/>
      <c r="G219" s="106"/>
      <c r="H219" s="106"/>
      <c r="I219" s="106"/>
    </row>
    <row r="220" spans="1:9" ht="15" customHeight="1">
      <c r="A220" s="126" t="s">
        <v>646</v>
      </c>
      <c r="B220" s="105">
        <f t="shared" si="3"/>
        <v>1584</v>
      </c>
      <c r="C220" s="106"/>
      <c r="D220" s="106">
        <v>1584</v>
      </c>
      <c r="E220" s="106"/>
      <c r="F220" s="106"/>
      <c r="G220" s="106"/>
      <c r="H220" s="106"/>
      <c r="I220" s="106"/>
    </row>
    <row r="221" spans="1:9" ht="15" customHeight="1">
      <c r="A221" s="44" t="s">
        <v>33</v>
      </c>
      <c r="B221" s="105">
        <f t="shared" si="3"/>
        <v>45300</v>
      </c>
      <c r="C221" s="106">
        <v>36665</v>
      </c>
      <c r="D221" s="106">
        <v>8635</v>
      </c>
      <c r="E221" s="106"/>
      <c r="F221" s="106"/>
      <c r="G221" s="106"/>
      <c r="H221" s="106"/>
      <c r="I221" s="106"/>
    </row>
    <row r="222" spans="1:9" ht="15" customHeight="1">
      <c r="A222" s="44" t="s">
        <v>34</v>
      </c>
      <c r="B222" s="105">
        <f t="shared" si="3"/>
        <v>29992</v>
      </c>
      <c r="C222" s="106">
        <v>25825</v>
      </c>
      <c r="D222" s="106">
        <v>4167</v>
      </c>
      <c r="E222" s="106"/>
      <c r="F222" s="106"/>
      <c r="G222" s="106"/>
      <c r="H222" s="106"/>
      <c r="I222" s="106"/>
    </row>
    <row r="223" spans="1:9" ht="15" customHeight="1">
      <c r="A223" s="44" t="s">
        <v>619</v>
      </c>
      <c r="B223" s="105">
        <f t="shared" si="3"/>
        <v>59734</v>
      </c>
      <c r="C223" s="106">
        <v>36494</v>
      </c>
      <c r="D223" s="106">
        <v>23240</v>
      </c>
      <c r="E223" s="106"/>
      <c r="F223" s="106"/>
      <c r="G223" s="106"/>
      <c r="H223" s="106"/>
      <c r="I223" s="106"/>
    </row>
    <row r="224" spans="1:9" ht="15" customHeight="1">
      <c r="A224" s="47" t="s">
        <v>608</v>
      </c>
      <c r="B224" s="105">
        <f t="shared" si="3"/>
        <v>52746</v>
      </c>
      <c r="C224" s="109">
        <v>33824</v>
      </c>
      <c r="D224" s="106">
        <f>15039+D225</f>
        <v>18922</v>
      </c>
      <c r="E224" s="110"/>
      <c r="F224" s="110"/>
      <c r="G224" s="109"/>
      <c r="H224" s="110"/>
      <c r="I224" s="110"/>
    </row>
    <row r="225" spans="1:9" ht="15" customHeight="1">
      <c r="A225" s="126" t="s">
        <v>646</v>
      </c>
      <c r="B225" s="105">
        <f t="shared" si="3"/>
        <v>3883</v>
      </c>
      <c r="C225" s="127"/>
      <c r="D225" s="106">
        <v>3883</v>
      </c>
      <c r="E225" s="111"/>
      <c r="F225" s="111"/>
      <c r="G225" s="127"/>
      <c r="H225" s="111"/>
      <c r="I225" s="111"/>
    </row>
    <row r="226" spans="1:9" ht="15" customHeight="1">
      <c r="A226" s="44" t="s">
        <v>191</v>
      </c>
      <c r="B226" s="105">
        <f t="shared" si="3"/>
        <v>13232</v>
      </c>
      <c r="C226" s="106">
        <v>11004</v>
      </c>
      <c r="D226" s="106">
        <v>2228</v>
      </c>
      <c r="E226" s="106"/>
      <c r="F226" s="106"/>
      <c r="G226" s="106"/>
      <c r="H226" s="106"/>
      <c r="I226" s="106"/>
    </row>
    <row r="227" spans="1:9" ht="15" customHeight="1">
      <c r="A227" s="46" t="s">
        <v>147</v>
      </c>
      <c r="B227" s="105">
        <f t="shared" si="3"/>
        <v>42997</v>
      </c>
      <c r="C227" s="106">
        <v>30807</v>
      </c>
      <c r="D227" s="106">
        <v>12190</v>
      </c>
      <c r="E227" s="106"/>
      <c r="F227" s="106"/>
      <c r="G227" s="106"/>
      <c r="H227" s="106"/>
      <c r="I227" s="106"/>
    </row>
    <row r="228" spans="1:9" ht="15" customHeight="1">
      <c r="A228" s="44" t="s">
        <v>198</v>
      </c>
      <c r="B228" s="105">
        <f t="shared" si="3"/>
        <v>25396</v>
      </c>
      <c r="C228" s="106">
        <v>19679</v>
      </c>
      <c r="D228" s="106">
        <v>5717</v>
      </c>
      <c r="E228" s="106"/>
      <c r="F228" s="106"/>
      <c r="G228" s="106"/>
      <c r="H228" s="106"/>
      <c r="I228" s="106"/>
    </row>
    <row r="229" spans="1:9" ht="15" customHeight="1">
      <c r="A229" s="44" t="s">
        <v>189</v>
      </c>
      <c r="B229" s="105">
        <f t="shared" si="3"/>
        <v>18975</v>
      </c>
      <c r="C229" s="106">
        <v>15061</v>
      </c>
      <c r="D229" s="106">
        <v>3914</v>
      </c>
      <c r="E229" s="106"/>
      <c r="F229" s="106"/>
      <c r="G229" s="106"/>
      <c r="H229" s="106"/>
      <c r="I229" s="106"/>
    </row>
    <row r="230" spans="1:9" ht="15" customHeight="1">
      <c r="A230" s="47" t="s">
        <v>607</v>
      </c>
      <c r="B230" s="105">
        <f t="shared" si="3"/>
        <v>64947</v>
      </c>
      <c r="C230" s="112">
        <v>53321</v>
      </c>
      <c r="D230" s="106">
        <v>11626</v>
      </c>
      <c r="E230" s="113"/>
      <c r="F230" s="113"/>
      <c r="G230" s="113"/>
      <c r="H230" s="113"/>
      <c r="I230" s="113"/>
    </row>
    <row r="231" spans="1:9" ht="15" customHeight="1">
      <c r="A231" s="44" t="s">
        <v>618</v>
      </c>
      <c r="B231" s="105">
        <f t="shared" si="3"/>
        <v>50753</v>
      </c>
      <c r="C231" s="106">
        <v>41671</v>
      </c>
      <c r="D231" s="106">
        <v>9082</v>
      </c>
      <c r="E231" s="106"/>
      <c r="F231" s="106"/>
      <c r="G231" s="106"/>
      <c r="H231" s="106"/>
      <c r="I231" s="106"/>
    </row>
    <row r="232" spans="1:9" ht="15" customHeight="1">
      <c r="A232" s="44" t="s">
        <v>200</v>
      </c>
      <c r="B232" s="105">
        <f t="shared" si="3"/>
        <v>35509</v>
      </c>
      <c r="C232" s="106">
        <v>29563</v>
      </c>
      <c r="D232" s="106">
        <v>5946</v>
      </c>
      <c r="E232" s="106"/>
      <c r="F232" s="106"/>
      <c r="G232" s="106"/>
      <c r="H232" s="106"/>
      <c r="I232" s="106"/>
    </row>
    <row r="233" spans="1:9" ht="30" customHeight="1">
      <c r="A233" s="44" t="s">
        <v>35</v>
      </c>
      <c r="B233" s="105">
        <f t="shared" si="3"/>
        <v>30054</v>
      </c>
      <c r="C233" s="106">
        <v>23677</v>
      </c>
      <c r="D233" s="106">
        <v>6377</v>
      </c>
      <c r="E233" s="106"/>
      <c r="F233" s="106"/>
      <c r="G233" s="106"/>
      <c r="H233" s="106"/>
      <c r="I233" s="106"/>
    </row>
    <row r="234" spans="1:9" ht="19.5" customHeight="1">
      <c r="A234" s="46" t="s">
        <v>617</v>
      </c>
      <c r="B234" s="105">
        <f t="shared" si="3"/>
        <v>112765</v>
      </c>
      <c r="C234" s="106">
        <v>72657</v>
      </c>
      <c r="D234" s="106">
        <v>40108</v>
      </c>
      <c r="E234" s="106"/>
      <c r="F234" s="106"/>
      <c r="G234" s="106"/>
      <c r="H234" s="106"/>
      <c r="I234" s="106"/>
    </row>
    <row r="235" spans="1:9" ht="24" customHeight="1">
      <c r="A235" s="46" t="s">
        <v>616</v>
      </c>
      <c r="B235" s="105">
        <f t="shared" si="3"/>
        <v>41992</v>
      </c>
      <c r="C235" s="106">
        <v>28800</v>
      </c>
      <c r="D235" s="106">
        <v>13192</v>
      </c>
      <c r="E235" s="106"/>
      <c r="F235" s="106"/>
      <c r="G235" s="106"/>
      <c r="H235" s="106"/>
      <c r="I235" s="106"/>
    </row>
    <row r="236" spans="1:9" ht="15" customHeight="1">
      <c r="A236" s="46" t="s">
        <v>148</v>
      </c>
      <c r="B236" s="105">
        <f t="shared" si="3"/>
        <v>23841</v>
      </c>
      <c r="C236" s="106">
        <v>14015</v>
      </c>
      <c r="D236" s="106">
        <v>9826</v>
      </c>
      <c r="E236" s="106"/>
      <c r="F236" s="106"/>
      <c r="G236" s="106"/>
      <c r="H236" s="106"/>
      <c r="I236" s="106"/>
    </row>
    <row r="237" spans="1:9" ht="45" customHeight="1">
      <c r="A237" s="46" t="s">
        <v>146</v>
      </c>
      <c r="B237" s="105">
        <f t="shared" si="4" ref="B237:B332">=SUM(C237:I237)</f>
        <v>68956</v>
      </c>
      <c r="C237" s="106">
        <v>49981</v>
      </c>
      <c r="D237" s="106">
        <v>18475</v>
      </c>
      <c r="E237" s="106"/>
      <c r="F237" s="106"/>
      <c r="G237" s="106">
        <v>500</v>
      </c>
      <c r="H237" s="106"/>
      <c r="I237" s="106"/>
    </row>
    <row r="238" spans="1:9" ht="15" customHeight="1">
      <c r="A238" s="43" t="s">
        <v>621</v>
      </c>
      <c r="B238" s="105">
        <f t="shared" si="4"/>
        <v>300</v>
      </c>
      <c r="C238" s="106"/>
      <c r="D238" s="106"/>
      <c r="E238" s="106">
        <v>300</v>
      </c>
      <c r="F238" s="106"/>
      <c r="G238" s="106"/>
      <c r="H238" s="106"/>
      <c r="I238" s="106"/>
    </row>
    <row r="239" spans="1:9" ht="21.75" customHeight="1">
      <c r="A239" s="43" t="s">
        <v>655</v>
      </c>
      <c r="B239" s="105">
        <f t="shared" si="4"/>
        <v>700</v>
      </c>
      <c r="C239" s="106"/>
      <c r="D239" s="106"/>
      <c r="E239" s="106">
        <v>700</v>
      </c>
      <c r="F239" s="106"/>
      <c r="G239" s="106"/>
      <c r="H239" s="106"/>
      <c r="I239" s="106"/>
    </row>
    <row r="240" spans="1:9" ht="15" customHeight="1">
      <c r="A240" s="45" t="s">
        <v>169</v>
      </c>
      <c r="B240" s="105">
        <f t="shared" si="4"/>
        <v>64786</v>
      </c>
      <c r="C240" s="114">
        <v>58308</v>
      </c>
      <c r="D240" s="106">
        <v>5263</v>
      </c>
      <c r="E240" s="115"/>
      <c r="F240" s="115"/>
      <c r="G240" s="114"/>
      <c r="H240" s="115"/>
      <c r="I240" s="115">
        <v>1215</v>
      </c>
    </row>
    <row r="241" spans="1:9" ht="15" customHeight="1">
      <c r="A241" s="45" t="s">
        <v>170</v>
      </c>
      <c r="B241" s="105">
        <f t="shared" si="4"/>
        <v>69380</v>
      </c>
      <c r="C241" s="114">
        <v>4838</v>
      </c>
      <c r="D241" s="106">
        <v>64542</v>
      </c>
      <c r="E241" s="115"/>
      <c r="F241" s="115"/>
      <c r="G241" s="114"/>
      <c r="H241" s="115"/>
      <c r="I241" s="115"/>
    </row>
    <row r="242" spans="1:9" ht="15" customHeight="1">
      <c r="A242" s="45" t="s">
        <v>240</v>
      </c>
      <c r="B242" s="105">
        <f t="shared" si="4"/>
        <v>53769</v>
      </c>
      <c r="C242" s="114"/>
      <c r="D242" s="106">
        <v>53769</v>
      </c>
      <c r="E242" s="115"/>
      <c r="F242" s="115"/>
      <c r="G242" s="114"/>
      <c r="H242" s="115"/>
      <c r="I242" s="115"/>
    </row>
    <row r="243" spans="1:9" ht="33.75" customHeight="1">
      <c r="A243" s="45" t="s">
        <v>642</v>
      </c>
      <c r="B243" s="105">
        <f t="shared" si="4"/>
        <v>166724</v>
      </c>
      <c r="C243" s="114">
        <v>2010</v>
      </c>
      <c r="D243" s="106">
        <f>97408+D244</f>
        <v>164714</v>
      </c>
      <c r="E243" s="115"/>
      <c r="F243" s="115"/>
      <c r="G243" s="114"/>
      <c r="H243" s="115"/>
      <c r="I243" s="115"/>
    </row>
    <row r="244" spans="1:9" ht="23.25" customHeight="1">
      <c r="A244" s="126" t="s">
        <v>646</v>
      </c>
      <c r="B244" s="105">
        <f t="shared" si="4"/>
        <v>67306</v>
      </c>
      <c r="C244" s="114"/>
      <c r="D244" s="106">
        <v>67306</v>
      </c>
      <c r="E244" s="115"/>
      <c r="F244" s="115"/>
      <c r="G244" s="114"/>
      <c r="H244" s="115"/>
      <c r="I244" s="115"/>
    </row>
    <row r="245" spans="1:9" ht="15" customHeight="1">
      <c r="A245" s="45" t="s">
        <v>657</v>
      </c>
      <c r="B245" s="105">
        <f t="shared" si="4"/>
        <v>2300</v>
      </c>
      <c r="C245" s="114"/>
      <c r="D245" s="106"/>
      <c r="E245" s="115">
        <f>600+E246</f>
        <v>2300</v>
      </c>
      <c r="F245" s="115"/>
      <c r="G245" s="114"/>
      <c r="H245" s="115"/>
      <c r="I245" s="115"/>
    </row>
    <row r="246" spans="1:9" ht="15" customHeight="1">
      <c r="A246" s="126" t="s">
        <v>646</v>
      </c>
      <c r="B246" s="105">
        <f t="shared" si="4"/>
        <v>1700</v>
      </c>
      <c r="C246" s="114"/>
      <c r="D246" s="106"/>
      <c r="E246" s="115">
        <f>700+1000</f>
        <v>1700</v>
      </c>
      <c r="F246" s="115"/>
      <c r="G246" s="114"/>
      <c r="H246" s="115"/>
      <c r="I246" s="115"/>
    </row>
    <row r="247" spans="1:9" ht="31.5" customHeight="1">
      <c r="A247" s="45" t="s">
        <v>623</v>
      </c>
      <c r="B247" s="105">
        <f t="shared" si="4"/>
        <v>4709</v>
      </c>
      <c r="C247" s="114"/>
      <c r="D247" s="106"/>
      <c r="E247" s="115">
        <v>4709</v>
      </c>
      <c r="F247" s="115"/>
      <c r="G247" s="114"/>
      <c r="H247" s="115"/>
      <c r="I247" s="115"/>
    </row>
    <row r="248" spans="1:9" ht="31.5" customHeight="1">
      <c r="A248" s="46" t="s">
        <v>36</v>
      </c>
      <c r="B248" s="105">
        <f t="shared" si="4"/>
        <v>69309</v>
      </c>
      <c r="C248" s="106">
        <v>446</v>
      </c>
      <c r="D248" s="106">
        <v>68203</v>
      </c>
      <c r="E248" s="106"/>
      <c r="F248" s="106"/>
      <c r="G248" s="106"/>
      <c r="H248" s="106">
        <v>660</v>
      </c>
      <c r="I248" s="106"/>
    </row>
    <row r="249" spans="1:9" ht="15" customHeight="1">
      <c r="A249" s="44" t="s">
        <v>37</v>
      </c>
      <c r="B249" s="105">
        <f t="shared" si="4"/>
        <v>833489</v>
      </c>
      <c r="C249" s="106">
        <f>629191+C250</f>
        <v>731188</v>
      </c>
      <c r="D249" s="106">
        <f>100251+D250</f>
        <v>102301</v>
      </c>
      <c r="E249" s="106"/>
      <c r="F249" s="106"/>
      <c r="G249" s="106"/>
      <c r="H249" s="106"/>
      <c r="I249" s="106"/>
    </row>
    <row r="250" spans="1:10" ht="17.25" customHeight="1">
      <c r="A250" s="126" t="s">
        <v>646</v>
      </c>
      <c r="B250" s="105">
        <f>SUM(C250:I250)</f>
        <v>104047</v>
      </c>
      <c r="C250" s="106">
        <f>90240+11757</f>
        <v>101997</v>
      </c>
      <c r="D250" s="106">
        <v>2050</v>
      </c>
      <c r="E250" s="106"/>
      <c r="F250" s="106"/>
      <c r="G250" s="106"/>
      <c r="H250" s="106"/>
      <c r="I250" s="106"/>
      <c r="J250" s="59"/>
    </row>
    <row r="251" spans="1:9" ht="15" customHeight="1">
      <c r="A251" s="44" t="s">
        <v>38</v>
      </c>
      <c r="B251" s="105">
        <f t="shared" si="4"/>
        <v>505770</v>
      </c>
      <c r="C251" s="106">
        <f>397079+C252</f>
        <v>435820</v>
      </c>
      <c r="D251" s="106">
        <f>68903+1047</f>
        <v>69950</v>
      </c>
      <c r="E251" s="106"/>
      <c r="F251" s="106"/>
      <c r="G251" s="106"/>
      <c r="H251" s="106"/>
      <c r="I251" s="106"/>
    </row>
    <row r="252" spans="1:9" ht="15" customHeight="1">
      <c r="A252" s="126" t="s">
        <v>646</v>
      </c>
      <c r="B252" s="105">
        <f>SUM(C252:I252)</f>
        <v>39788</v>
      </c>
      <c r="C252" s="106">
        <f>33176+5565</f>
        <v>38741</v>
      </c>
      <c r="D252" s="106">
        <v>1047</v>
      </c>
      <c r="E252" s="106"/>
      <c r="F252" s="106"/>
      <c r="G252" s="106"/>
      <c r="H252" s="106"/>
      <c r="I252" s="106"/>
    </row>
    <row r="253" spans="1:9" ht="15" customHeight="1">
      <c r="A253" s="44" t="s">
        <v>39</v>
      </c>
      <c r="B253" s="105">
        <f t="shared" si="4"/>
        <v>102490</v>
      </c>
      <c r="C253" s="106">
        <f>87253+C254</f>
        <v>94219</v>
      </c>
      <c r="D253" s="106">
        <f>8075+D254</f>
        <v>8271</v>
      </c>
      <c r="E253" s="106"/>
      <c r="F253" s="106"/>
      <c r="G253" s="106"/>
      <c r="H253" s="106"/>
      <c r="I253" s="106"/>
    </row>
    <row r="254" spans="1:9" ht="15" customHeight="1">
      <c r="A254" s="126" t="s">
        <v>646</v>
      </c>
      <c r="B254" s="105">
        <f>SUM(C254:I254)</f>
        <v>7162</v>
      </c>
      <c r="C254" s="106">
        <f>5004+1962</f>
        <v>6966</v>
      </c>
      <c r="D254" s="106">
        <v>196</v>
      </c>
      <c r="E254" s="106"/>
      <c r="F254" s="106"/>
      <c r="G254" s="106"/>
      <c r="H254" s="106"/>
      <c r="I254" s="106"/>
    </row>
    <row r="255" spans="1:9" ht="18.75" customHeight="1">
      <c r="A255" s="44" t="s">
        <v>40</v>
      </c>
      <c r="B255" s="105">
        <f t="shared" si="4"/>
        <v>308509</v>
      </c>
      <c r="C255" s="106">
        <f>257379+C256</f>
        <v>276880</v>
      </c>
      <c r="D255" s="106">
        <f>31018+D256</f>
        <v>31629</v>
      </c>
      <c r="E255" s="106"/>
      <c r="F255" s="106"/>
      <c r="G255" s="106"/>
      <c r="H255" s="106"/>
      <c r="I255" s="106"/>
    </row>
    <row r="256" spans="1:9" ht="15" customHeight="1">
      <c r="A256" s="126" t="s">
        <v>646</v>
      </c>
      <c r="B256" s="105">
        <f>SUM(C256:I256)</f>
        <v>20112</v>
      </c>
      <c r="C256" s="106">
        <f>14872+4629</f>
        <v>19501</v>
      </c>
      <c r="D256" s="106">
        <v>611</v>
      </c>
      <c r="E256" s="106"/>
      <c r="F256" s="106"/>
      <c r="G256" s="106"/>
      <c r="H256" s="106"/>
      <c r="I256" s="106"/>
    </row>
    <row r="257" spans="1:9" ht="32.25" customHeight="1">
      <c r="A257" s="46" t="s">
        <v>154</v>
      </c>
      <c r="B257" s="105">
        <f t="shared" si="4"/>
        <v>225462</v>
      </c>
      <c r="C257" s="106">
        <f>181983+C258</f>
        <v>198934</v>
      </c>
      <c r="D257" s="106">
        <f>26070+D258</f>
        <v>26528</v>
      </c>
      <c r="E257" s="106"/>
      <c r="F257" s="106"/>
      <c r="G257" s="106"/>
      <c r="H257" s="106"/>
      <c r="I257" s="106"/>
    </row>
    <row r="258" spans="1:9" ht="15" customHeight="1">
      <c r="A258" s="126" t="s">
        <v>646</v>
      </c>
      <c r="B258" s="105">
        <f>SUM(C258:I258)</f>
        <v>17409</v>
      </c>
      <c r="C258" s="106">
        <f>16868+83</f>
        <v>16951</v>
      </c>
      <c r="D258" s="106">
        <v>458</v>
      </c>
      <c r="E258" s="106"/>
      <c r="F258" s="106"/>
      <c r="G258" s="106"/>
      <c r="H258" s="106"/>
      <c r="I258" s="106"/>
    </row>
    <row r="259" spans="1:9" ht="32.25" customHeight="1">
      <c r="A259" s="46" t="s">
        <v>155</v>
      </c>
      <c r="B259" s="105">
        <f>SUM(C259:I259)</f>
        <v>158883</v>
      </c>
      <c r="C259" s="106">
        <f>124329+C260</f>
        <v>128307</v>
      </c>
      <c r="D259" s="106">
        <f>30380+D260</f>
        <v>30521</v>
      </c>
      <c r="E259" s="106"/>
      <c r="F259" s="106"/>
      <c r="G259" s="106">
        <v>55</v>
      </c>
      <c r="H259" s="106"/>
      <c r="I259" s="106"/>
    </row>
    <row r="260" spans="1:9" ht="15" customHeight="1">
      <c r="A260" s="126" t="s">
        <v>646</v>
      </c>
      <c r="B260" s="105">
        <f>SUM(C260:I260)</f>
        <v>4174</v>
      </c>
      <c r="C260" s="106">
        <f>6864-2886</f>
        <v>3978</v>
      </c>
      <c r="D260" s="106">
        <v>141</v>
      </c>
      <c r="E260" s="106"/>
      <c r="F260" s="106"/>
      <c r="G260" s="106">
        <v>55</v>
      </c>
      <c r="H260" s="106"/>
      <c r="I260" s="106"/>
    </row>
    <row r="261" spans="1:9" ht="15" customHeight="1">
      <c r="A261" s="44" t="s">
        <v>78</v>
      </c>
      <c r="B261" s="105">
        <f t="shared" si="4"/>
        <v>1299630</v>
      </c>
      <c r="C261" s="106">
        <f>733654+C262</f>
        <v>1035377</v>
      </c>
      <c r="D261" s="106">
        <f>242765+D262</f>
        <v>256253</v>
      </c>
      <c r="E261" s="106"/>
      <c r="F261" s="106"/>
      <c r="G261" s="106">
        <v>8000</v>
      </c>
      <c r="H261" s="106"/>
      <c r="I261" s="106"/>
    </row>
    <row r="262" spans="1:9" ht="15" customHeight="1">
      <c r="A262" s="126" t="s">
        <v>646</v>
      </c>
      <c r="B262" s="105">
        <f>SUM(C262:I262)</f>
        <v>323211</v>
      </c>
      <c r="C262" s="106">
        <f>293520+7756+447</f>
        <v>301723</v>
      </c>
      <c r="D262" s="106">
        <f>2011+11477</f>
        <v>13488</v>
      </c>
      <c r="E262" s="106"/>
      <c r="F262" s="106"/>
      <c r="G262" s="106">
        <v>8000</v>
      </c>
      <c r="H262" s="106"/>
      <c r="I262" s="106"/>
    </row>
    <row r="263" spans="1:9" ht="15" customHeight="1">
      <c r="A263" s="44" t="s">
        <v>163</v>
      </c>
      <c r="B263" s="105">
        <f t="shared" si="4"/>
        <v>492890</v>
      </c>
      <c r="C263" s="106">
        <f>351657+C264</f>
        <v>415387</v>
      </c>
      <c r="D263" s="106">
        <f>75115+D264</f>
        <v>76503</v>
      </c>
      <c r="E263" s="106"/>
      <c r="F263" s="106"/>
      <c r="G263" s="106">
        <v>1000</v>
      </c>
      <c r="H263" s="106"/>
      <c r="I263" s="106"/>
    </row>
    <row r="264" spans="1:9" ht="15" customHeight="1">
      <c r="A264" s="126" t="s">
        <v>646</v>
      </c>
      <c r="B264" s="105">
        <f>SUM(C264:I264)</f>
        <v>66118</v>
      </c>
      <c r="C264" s="106">
        <f>46380+2716+6864+7770</f>
        <v>63730</v>
      </c>
      <c r="D264" s="106">
        <f>374+1014</f>
        <v>1388</v>
      </c>
      <c r="E264" s="106"/>
      <c r="F264" s="106"/>
      <c r="G264" s="106">
        <v>1000</v>
      </c>
      <c r="H264" s="106"/>
      <c r="I264" s="106"/>
    </row>
    <row r="265" spans="1:9" ht="32.25" customHeight="1">
      <c r="A265" s="44" t="s">
        <v>224</v>
      </c>
      <c r="B265" s="105">
        <f t="shared" si="4"/>
        <v>43300</v>
      </c>
      <c r="C265" s="106">
        <v>24676</v>
      </c>
      <c r="D265" s="106">
        <v>18624</v>
      </c>
      <c r="E265" s="106"/>
      <c r="F265" s="106"/>
      <c r="G265" s="106"/>
      <c r="H265" s="106"/>
      <c r="I265" s="106"/>
    </row>
    <row r="266" spans="1:9" ht="15" customHeight="1">
      <c r="A266" s="47" t="s">
        <v>156</v>
      </c>
      <c r="B266" s="105">
        <f t="shared" si="4"/>
        <v>577630</v>
      </c>
      <c r="C266" s="112">
        <f>425162+C267</f>
        <v>527185</v>
      </c>
      <c r="D266" s="106">
        <f>48334+D267</f>
        <v>49045</v>
      </c>
      <c r="E266" s="118"/>
      <c r="F266" s="118"/>
      <c r="G266" s="117">
        <f>200+G267</f>
        <v>1400</v>
      </c>
      <c r="H266" s="118"/>
      <c r="I266" s="118"/>
    </row>
    <row r="267" spans="1:9" ht="15" customHeight="1">
      <c r="A267" s="126" t="s">
        <v>646</v>
      </c>
      <c r="B267" s="105">
        <f>SUM(C267:I267)</f>
        <v>103934</v>
      </c>
      <c r="C267" s="127">
        <f>95984+968+4432+639</f>
        <v>102023</v>
      </c>
      <c r="D267" s="106">
        <f>458+253</f>
        <v>711</v>
      </c>
      <c r="E267" s="115"/>
      <c r="F267" s="115"/>
      <c r="G267" s="114">
        <v>1200</v>
      </c>
      <c r="H267" s="115"/>
      <c r="I267" s="115"/>
    </row>
    <row r="268" spans="1:9" ht="15" customHeight="1">
      <c r="A268" s="44" t="s">
        <v>41</v>
      </c>
      <c r="B268" s="105">
        <f t="shared" si="4"/>
        <v>431616</v>
      </c>
      <c r="C268" s="106">
        <f>294855+C269</f>
        <v>382712</v>
      </c>
      <c r="D268" s="106">
        <f>46607+D269</f>
        <v>47654</v>
      </c>
      <c r="E268" s="106"/>
      <c r="F268" s="106"/>
      <c r="G268" s="106">
        <f>420+G269</f>
        <v>1250</v>
      </c>
      <c r="H268" s="106"/>
      <c r="I268" s="106"/>
    </row>
    <row r="269" spans="1:9" ht="15" customHeight="1">
      <c r="A269" s="126" t="s">
        <v>646</v>
      </c>
      <c r="B269" s="105">
        <f>SUM(C269:I269)</f>
        <v>89734</v>
      </c>
      <c r="C269" s="106">
        <f>84552+1940+1365</f>
        <v>87857</v>
      </c>
      <c r="D269" s="106">
        <f>610+437</f>
        <v>1047</v>
      </c>
      <c r="E269" s="106"/>
      <c r="F269" s="106"/>
      <c r="G269" s="106">
        <v>830</v>
      </c>
      <c r="H269" s="106"/>
      <c r="I269" s="106"/>
    </row>
    <row r="270" spans="1:9" ht="18.75" customHeight="1">
      <c r="A270" s="44" t="s">
        <v>225</v>
      </c>
      <c r="B270" s="105">
        <f t="shared" si="4"/>
        <v>783008</v>
      </c>
      <c r="C270" s="106">
        <f>508337+C271</f>
        <v>674581</v>
      </c>
      <c r="D270" s="106">
        <f>99395+5000+D271</f>
        <v>107491</v>
      </c>
      <c r="E270" s="106"/>
      <c r="F270" s="106"/>
      <c r="G270" s="106">
        <v>936</v>
      </c>
      <c r="H270" s="106"/>
      <c r="I270" s="106"/>
    </row>
    <row r="271" spans="1:9" ht="21" customHeight="1">
      <c r="A271" s="126" t="s">
        <v>646</v>
      </c>
      <c r="B271" s="105">
        <f t="shared" si="4"/>
        <v>170276</v>
      </c>
      <c r="C271" s="106">
        <f>134404+4460+7436+19944</f>
        <v>166244</v>
      </c>
      <c r="D271" s="106">
        <f>2008+1088</f>
        <v>3096</v>
      </c>
      <c r="E271" s="106"/>
      <c r="F271" s="106"/>
      <c r="G271" s="106">
        <v>936</v>
      </c>
      <c r="H271" s="106"/>
      <c r="I271" s="106"/>
    </row>
    <row r="272" spans="1:9" ht="27.75" customHeight="1">
      <c r="A272" s="44" t="s">
        <v>610</v>
      </c>
      <c r="B272" s="105">
        <f t="shared" si="4"/>
        <v>148997</v>
      </c>
      <c r="C272" s="106">
        <v>125670</v>
      </c>
      <c r="D272" s="106">
        <v>23327</v>
      </c>
      <c r="E272" s="106"/>
      <c r="F272" s="106"/>
      <c r="G272" s="106"/>
      <c r="H272" s="106"/>
      <c r="I272" s="106"/>
    </row>
    <row r="273" spans="1:9" ht="29.25" customHeight="1">
      <c r="A273" s="44" t="s">
        <v>226</v>
      </c>
      <c r="B273" s="105">
        <f t="shared" si="4"/>
        <v>80595</v>
      </c>
      <c r="C273" s="106">
        <v>62576</v>
      </c>
      <c r="D273" s="106">
        <f>12979+D274</f>
        <v>18019</v>
      </c>
      <c r="E273" s="106"/>
      <c r="F273" s="106"/>
      <c r="G273" s="106"/>
      <c r="H273" s="106"/>
      <c r="I273" s="106"/>
    </row>
    <row r="274" spans="1:9" ht="29.25" customHeight="1">
      <c r="A274" s="126" t="s">
        <v>646</v>
      </c>
      <c r="B274" s="105">
        <f t="shared" si="4"/>
        <v>5040</v>
      </c>
      <c r="C274" s="106"/>
      <c r="D274" s="106">
        <v>5040</v>
      </c>
      <c r="E274" s="106"/>
      <c r="F274" s="106"/>
      <c r="G274" s="106"/>
      <c r="H274" s="106"/>
      <c r="I274" s="106"/>
    </row>
    <row r="275" spans="1:9" ht="15" customHeight="1">
      <c r="A275" s="46" t="s">
        <v>152</v>
      </c>
      <c r="B275" s="105">
        <f>SUM(C275:I275)</f>
        <v>487172</v>
      </c>
      <c r="C275" s="106">
        <f>329846+C276</f>
        <v>422024</v>
      </c>
      <c r="D275" s="106">
        <f>62440+D276</f>
        <v>64148</v>
      </c>
      <c r="E275" s="106"/>
      <c r="F275" s="106"/>
      <c r="G275" s="106">
        <v>1000</v>
      </c>
      <c r="H275" s="106"/>
      <c r="I275" s="106"/>
    </row>
    <row r="276" spans="1:9" ht="15" customHeight="1">
      <c r="A276" s="126" t="s">
        <v>646</v>
      </c>
      <c r="B276" s="105">
        <f>SUM(C276:I276)</f>
        <v>94886</v>
      </c>
      <c r="C276" s="106">
        <f>70112+2132+2288+17646</f>
        <v>92178</v>
      </c>
      <c r="D276" s="106">
        <f>1072+636</f>
        <v>1708</v>
      </c>
      <c r="E276" s="106"/>
      <c r="F276" s="106"/>
      <c r="G276" s="106">
        <v>1000</v>
      </c>
      <c r="H276" s="106"/>
      <c r="I276" s="106"/>
    </row>
    <row r="277" spans="1:9" ht="15" customHeight="1">
      <c r="A277" s="46" t="s">
        <v>254</v>
      </c>
      <c r="B277" s="105">
        <f t="shared" si="4"/>
        <v>129899</v>
      </c>
      <c r="C277" s="106">
        <v>82946</v>
      </c>
      <c r="D277" s="106">
        <f>46421+D278</f>
        <v>46953</v>
      </c>
      <c r="E277" s="106"/>
      <c r="F277" s="106"/>
      <c r="G277" s="106"/>
      <c r="H277" s="106"/>
      <c r="I277" s="106"/>
    </row>
    <row r="278" spans="1:9" ht="15" customHeight="1">
      <c r="A278" s="126" t="s">
        <v>646</v>
      </c>
      <c r="B278" s="105">
        <f t="shared" si="4"/>
        <v>532</v>
      </c>
      <c r="C278" s="106"/>
      <c r="D278" s="106">
        <f>532</f>
        <v>532</v>
      </c>
      <c r="E278" s="106"/>
      <c r="F278" s="106"/>
      <c r="G278" s="106"/>
      <c r="H278" s="106"/>
      <c r="I278" s="106"/>
    </row>
    <row r="279" spans="1:9" ht="18" customHeight="1">
      <c r="A279" s="44" t="s">
        <v>42</v>
      </c>
      <c r="B279" s="105">
        <f t="shared" si="4"/>
        <v>1094912</v>
      </c>
      <c r="C279" s="106">
        <f>675143+C280</f>
        <v>906773</v>
      </c>
      <c r="D279" s="106">
        <f>182512+D280</f>
        <v>184012</v>
      </c>
      <c r="E279" s="106"/>
      <c r="F279" s="106"/>
      <c r="G279" s="106">
        <v>4127</v>
      </c>
      <c r="H279" s="106"/>
      <c r="I279" s="106"/>
    </row>
    <row r="280" spans="1:9" ht="18.75" customHeight="1">
      <c r="A280" s="126" t="s">
        <v>646</v>
      </c>
      <c r="B280" s="105">
        <f>SUM(C280:I280)</f>
        <v>237257</v>
      </c>
      <c r="C280" s="106">
        <f>224778+4656+2196</f>
        <v>231630</v>
      </c>
      <c r="D280" s="106">
        <v>1500</v>
      </c>
      <c r="E280" s="106"/>
      <c r="F280" s="106"/>
      <c r="G280" s="106">
        <v>4127</v>
      </c>
      <c r="H280" s="106"/>
      <c r="I280" s="106"/>
    </row>
    <row r="281" spans="1:9" ht="16.5" customHeight="1">
      <c r="A281" s="46" t="s">
        <v>666</v>
      </c>
      <c r="B281" s="105">
        <f t="shared" si="4"/>
        <v>666569</v>
      </c>
      <c r="C281" s="106">
        <f>429747+C282</f>
        <v>551854</v>
      </c>
      <c r="D281" s="106">
        <f>109211+D282</f>
        <v>111119</v>
      </c>
      <c r="E281" s="106"/>
      <c r="F281" s="106"/>
      <c r="G281" s="106">
        <f>1296+G282</f>
        <v>3596</v>
      </c>
      <c r="H281" s="106"/>
      <c r="I281" s="106"/>
    </row>
    <row r="282" spans="1:9" ht="22.5" customHeight="1">
      <c r="A282" s="126" t="s">
        <v>646</v>
      </c>
      <c r="B282" s="105">
        <f>SUM(C282:I282)</f>
        <v>126315</v>
      </c>
      <c r="C282" s="106">
        <f>115432+4656+2019</f>
        <v>122107</v>
      </c>
      <c r="D282" s="106">
        <f>1059+849</f>
        <v>1908</v>
      </c>
      <c r="E282" s="106"/>
      <c r="F282" s="106"/>
      <c r="G282" s="106">
        <v>2300</v>
      </c>
      <c r="H282" s="106"/>
      <c r="I282" s="106"/>
    </row>
    <row r="283" spans="1:9" ht="31.5" customHeight="1">
      <c r="A283" s="44" t="s">
        <v>53</v>
      </c>
      <c r="B283" s="105">
        <f t="shared" si="4"/>
        <v>1024363</v>
      </c>
      <c r="C283" s="106">
        <f>617536+C284</f>
        <v>830735</v>
      </c>
      <c r="D283" s="106">
        <f>180254+D284</f>
        <v>181352</v>
      </c>
      <c r="E283" s="106"/>
      <c r="F283" s="106"/>
      <c r="G283" s="106">
        <f>80+G284</f>
        <v>2276</v>
      </c>
      <c r="H283" s="106">
        <v>10000</v>
      </c>
      <c r="I283" s="106"/>
    </row>
    <row r="284" spans="1:9" ht="15" customHeight="1">
      <c r="A284" s="126" t="s">
        <v>646</v>
      </c>
      <c r="B284" s="105">
        <f>SUM(C284:I284)</f>
        <v>216493</v>
      </c>
      <c r="C284" s="106">
        <f>124416+81064+4848+2871</f>
        <v>213199</v>
      </c>
      <c r="D284" s="106">
        <v>1098</v>
      </c>
      <c r="E284" s="106"/>
      <c r="F284" s="106"/>
      <c r="G284" s="106">
        <v>2196</v>
      </c>
      <c r="H284" s="106"/>
      <c r="I284" s="106"/>
    </row>
    <row r="285" spans="1:9" ht="47.25" customHeight="1">
      <c r="A285" s="44" t="s">
        <v>638</v>
      </c>
      <c r="B285" s="105">
        <f t="shared" si="4"/>
        <v>115342</v>
      </c>
      <c r="C285" s="106">
        <v>57413</v>
      </c>
      <c r="D285" s="106">
        <v>57929</v>
      </c>
      <c r="E285" s="106"/>
      <c r="F285" s="106"/>
      <c r="G285" s="106"/>
      <c r="H285" s="106"/>
      <c r="I285" s="106"/>
    </row>
    <row r="286" spans="1:9" ht="15" customHeight="1">
      <c r="A286" s="44" t="s">
        <v>159</v>
      </c>
      <c r="B286" s="105">
        <f t="shared" si="4"/>
        <v>622583</v>
      </c>
      <c r="C286" s="106">
        <f>420504+C287</f>
        <v>529734</v>
      </c>
      <c r="D286" s="106">
        <f>89313+D287</f>
        <v>89891</v>
      </c>
      <c r="E286" s="106"/>
      <c r="F286" s="106"/>
      <c r="G286" s="106">
        <f>600+G287</f>
        <v>2958</v>
      </c>
      <c r="H286" s="106"/>
      <c r="I286" s="106"/>
    </row>
    <row r="287" spans="1:9" ht="20.25" customHeight="1">
      <c r="A287" s="126" t="s">
        <v>646</v>
      </c>
      <c r="B287" s="105">
        <f>SUM(C287:I287)</f>
        <v>112166</v>
      </c>
      <c r="C287" s="106">
        <f>75152+4460+12584+17034</f>
        <v>109230</v>
      </c>
      <c r="D287" s="106">
        <f>281+297</f>
        <v>578</v>
      </c>
      <c r="E287" s="106"/>
      <c r="F287" s="106"/>
      <c r="G287" s="106">
        <v>2358</v>
      </c>
      <c r="H287" s="106"/>
      <c r="I287" s="106"/>
    </row>
    <row r="288" spans="1:9" ht="18.75" customHeight="1">
      <c r="A288" s="46" t="s">
        <v>151</v>
      </c>
      <c r="B288" s="105">
        <f t="shared" si="4"/>
        <v>655763</v>
      </c>
      <c r="C288" s="106">
        <f>451679+C289</f>
        <v>563307</v>
      </c>
      <c r="D288" s="106">
        <f>87606+D289</f>
        <v>89956</v>
      </c>
      <c r="E288" s="106"/>
      <c r="F288" s="106"/>
      <c r="G288" s="106">
        <f>300+G289</f>
        <v>2500</v>
      </c>
      <c r="H288" s="106"/>
      <c r="I288" s="106"/>
    </row>
    <row r="289" spans="1:9" ht="18" customHeight="1">
      <c r="A289" s="126" t="s">
        <v>646</v>
      </c>
      <c r="B289" s="105">
        <f>SUM(C289:I289)</f>
        <v>116178</v>
      </c>
      <c r="C289" s="128">
        <f>75588+3104+15812+17124</f>
        <v>111628</v>
      </c>
      <c r="D289" s="106">
        <f>984+1366</f>
        <v>2350</v>
      </c>
      <c r="E289" s="106"/>
      <c r="F289" s="106"/>
      <c r="G289" s="106">
        <v>2200</v>
      </c>
      <c r="H289" s="106"/>
      <c r="I289" s="106"/>
    </row>
    <row r="290" spans="1:9" ht="15" customHeight="1">
      <c r="A290" s="47" t="s">
        <v>165</v>
      </c>
      <c r="B290" s="105">
        <f t="shared" si="4"/>
        <v>803814</v>
      </c>
      <c r="C290" s="109">
        <f>540834+C291</f>
        <v>679678</v>
      </c>
      <c r="D290" s="106">
        <f>110173+D291</f>
        <v>121136</v>
      </c>
      <c r="E290" s="115"/>
      <c r="F290" s="115"/>
      <c r="G290" s="114">
        <f>1000+G291</f>
        <v>3000</v>
      </c>
      <c r="H290" s="115"/>
      <c r="I290" s="115"/>
    </row>
    <row r="291" spans="1:9" ht="22.5" customHeight="1">
      <c r="A291" s="126" t="s">
        <v>646</v>
      </c>
      <c r="B291" s="105">
        <f>SUM(C291:I291)</f>
        <v>151807</v>
      </c>
      <c r="C291" s="127">
        <f>108004+4072+19448+7320</f>
        <v>138844</v>
      </c>
      <c r="D291" s="106">
        <f>1991+5900+1164+1908</f>
        <v>10963</v>
      </c>
      <c r="E291" s="115"/>
      <c r="F291" s="115"/>
      <c r="G291" s="114">
        <v>2000</v>
      </c>
      <c r="H291" s="115"/>
      <c r="I291" s="115"/>
    </row>
    <row r="292" spans="1:9" ht="15" customHeight="1">
      <c r="A292" s="44" t="s">
        <v>43</v>
      </c>
      <c r="B292" s="105">
        <f t="shared" si="4"/>
        <v>571427</v>
      </c>
      <c r="C292" s="106">
        <f>383681+C293</f>
        <v>538554</v>
      </c>
      <c r="D292" s="106">
        <v>30946</v>
      </c>
      <c r="E292" s="106"/>
      <c r="F292" s="106"/>
      <c r="G292" s="106">
        <v>1840</v>
      </c>
      <c r="H292" s="106"/>
      <c r="I292" s="106">
        <v>87</v>
      </c>
    </row>
    <row r="293" spans="1:9" ht="15" customHeight="1">
      <c r="A293" s="126" t="s">
        <v>646</v>
      </c>
      <c r="B293" s="105">
        <f>SUM(C293:I293)</f>
        <v>154873</v>
      </c>
      <c r="C293" s="106">
        <f>149286+2908+2679</f>
        <v>154873</v>
      </c>
      <c r="D293" s="106"/>
      <c r="E293" s="106"/>
      <c r="F293" s="106"/>
      <c r="G293" s="106"/>
      <c r="H293" s="106"/>
      <c r="I293" s="106"/>
    </row>
    <row r="294" spans="1:9" ht="15" customHeight="1">
      <c r="A294" s="44" t="s">
        <v>44</v>
      </c>
      <c r="B294" s="105">
        <f t="shared" si="4"/>
        <v>181840</v>
      </c>
      <c r="C294" s="106">
        <f>132209+C295</f>
        <v>154919</v>
      </c>
      <c r="D294" s="106">
        <v>24440</v>
      </c>
      <c r="E294" s="106"/>
      <c r="F294" s="106"/>
      <c r="G294" s="106">
        <v>2481</v>
      </c>
      <c r="H294" s="106"/>
      <c r="I294" s="106"/>
    </row>
    <row r="295" spans="1:9" ht="15" customHeight="1">
      <c r="A295" s="126" t="s">
        <v>646</v>
      </c>
      <c r="B295" s="105">
        <f>SUM(C295:I295)</f>
        <v>22710</v>
      </c>
      <c r="C295" s="106">
        <f>18624+1164+2922</f>
        <v>22710</v>
      </c>
      <c r="D295" s="106"/>
      <c r="E295" s="106"/>
      <c r="F295" s="106"/>
      <c r="G295" s="106"/>
      <c r="H295" s="106"/>
      <c r="I295" s="106"/>
    </row>
    <row r="296" spans="1:9" ht="15" customHeight="1">
      <c r="A296" s="49" t="s">
        <v>158</v>
      </c>
      <c r="B296" s="105">
        <f t="shared" si="4"/>
        <v>174258</v>
      </c>
      <c r="C296" s="106">
        <f>130803+C297</f>
        <v>160404</v>
      </c>
      <c r="D296" s="106">
        <v>13204</v>
      </c>
      <c r="E296" s="106"/>
      <c r="F296" s="106"/>
      <c r="G296" s="106">
        <v>650</v>
      </c>
      <c r="H296" s="106"/>
      <c r="I296" s="116"/>
    </row>
    <row r="297" spans="1:9" ht="15" customHeight="1">
      <c r="A297" s="126" t="s">
        <v>646</v>
      </c>
      <c r="B297" s="105">
        <f>SUM(C297:I297)</f>
        <v>29601</v>
      </c>
      <c r="C297" s="106">
        <f>29207+196+198</f>
        <v>29601</v>
      </c>
      <c r="D297" s="106"/>
      <c r="E297" s="106"/>
      <c r="F297" s="106"/>
      <c r="G297" s="106"/>
      <c r="H297" s="106"/>
      <c r="I297" s="116"/>
    </row>
    <row r="298" spans="1:9" ht="15" customHeight="1">
      <c r="A298" s="46" t="s">
        <v>150</v>
      </c>
      <c r="B298" s="105">
        <f t="shared" si="4"/>
        <v>176270</v>
      </c>
      <c r="C298" s="106">
        <f>121357+C299</f>
        <v>169464</v>
      </c>
      <c r="D298" s="106">
        <v>5032</v>
      </c>
      <c r="E298" s="106"/>
      <c r="F298" s="106"/>
      <c r="G298" s="106"/>
      <c r="H298" s="106"/>
      <c r="I298" s="106">
        <v>1774</v>
      </c>
    </row>
    <row r="299" spans="1:9" ht="15" customHeight="1">
      <c r="A299" s="126" t="s">
        <v>646</v>
      </c>
      <c r="B299" s="105">
        <f>SUM(C299:I299)</f>
        <v>48107</v>
      </c>
      <c r="C299" s="106">
        <f>46353+776+978</f>
        <v>48107</v>
      </c>
      <c r="D299" s="106"/>
      <c r="E299" s="106"/>
      <c r="F299" s="106"/>
      <c r="G299" s="106"/>
      <c r="H299" s="106"/>
      <c r="I299" s="106"/>
    </row>
    <row r="300" spans="1:9" ht="30" customHeight="1">
      <c r="A300" s="44" t="s">
        <v>45</v>
      </c>
      <c r="B300" s="105">
        <f>SUM(C300:I300)</f>
        <v>542309</v>
      </c>
      <c r="C300" s="106">
        <f>454526+C301</f>
        <v>472631</v>
      </c>
      <c r="D300" s="106">
        <v>69478</v>
      </c>
      <c r="E300" s="106"/>
      <c r="F300" s="106"/>
      <c r="G300" s="106">
        <v>200</v>
      </c>
      <c r="H300" s="106"/>
      <c r="I300" s="106"/>
    </row>
    <row r="301" spans="1:9" ht="30" customHeight="1">
      <c r="A301" s="126" t="s">
        <v>646</v>
      </c>
      <c r="B301" s="105">
        <f>SUM(C301:I301)</f>
        <v>18105</v>
      </c>
      <c r="C301" s="106">
        <f>12335+3520+2250</f>
        <v>18105</v>
      </c>
      <c r="D301" s="106"/>
      <c r="E301" s="106"/>
      <c r="F301" s="106"/>
      <c r="G301" s="106"/>
      <c r="H301" s="106"/>
      <c r="I301" s="106"/>
    </row>
    <row r="302" spans="1:9" ht="30" customHeight="1">
      <c r="A302" s="44" t="s">
        <v>52</v>
      </c>
      <c r="B302" s="105">
        <f t="shared" si="4"/>
        <v>220965</v>
      </c>
      <c r="C302" s="106">
        <v>90094</v>
      </c>
      <c r="D302" s="106">
        <v>130871</v>
      </c>
      <c r="E302" s="106"/>
      <c r="F302" s="106"/>
      <c r="G302" s="106"/>
      <c r="H302" s="106"/>
      <c r="I302" s="106"/>
    </row>
    <row r="303" spans="1:9" ht="28.5" customHeight="1">
      <c r="A303" s="44" t="s">
        <v>227</v>
      </c>
      <c r="B303" s="105">
        <f t="shared" si="4"/>
        <v>234619</v>
      </c>
      <c r="C303" s="106">
        <f>175526+C304</f>
        <v>191890</v>
      </c>
      <c r="D303" s="106">
        <v>42729</v>
      </c>
      <c r="E303" s="106"/>
      <c r="F303" s="106"/>
      <c r="G303" s="106"/>
      <c r="H303" s="106"/>
      <c r="I303" s="106"/>
    </row>
    <row r="304" spans="1:9" ht="28.5" customHeight="1">
      <c r="A304" s="126" t="s">
        <v>646</v>
      </c>
      <c r="B304" s="105">
        <f t="shared" si="4"/>
        <v>16364</v>
      </c>
      <c r="C304" s="106">
        <f>15956+408</f>
        <v>16364</v>
      </c>
      <c r="D304" s="106"/>
      <c r="E304" s="106"/>
      <c r="F304" s="106"/>
      <c r="G304" s="106"/>
      <c r="H304" s="106"/>
      <c r="I304" s="106"/>
    </row>
    <row r="305" spans="1:9" ht="15" customHeight="1">
      <c r="A305" s="44" t="s">
        <v>157</v>
      </c>
      <c r="B305" s="105">
        <f t="shared" si="4"/>
        <v>271060</v>
      </c>
      <c r="C305" s="106">
        <v>249314</v>
      </c>
      <c r="D305" s="106">
        <v>8937</v>
      </c>
      <c r="E305" s="106"/>
      <c r="F305" s="106"/>
      <c r="G305" s="106">
        <v>765</v>
      </c>
      <c r="H305" s="106"/>
      <c r="I305" s="106">
        <v>12044</v>
      </c>
    </row>
    <row r="306" spans="1:9" ht="15" customHeight="1">
      <c r="A306" s="44" t="s">
        <v>168</v>
      </c>
      <c r="B306" s="105">
        <f t="shared" si="4"/>
        <v>62449</v>
      </c>
      <c r="C306" s="106">
        <v>7682</v>
      </c>
      <c r="D306" s="106">
        <v>47267</v>
      </c>
      <c r="E306" s="106"/>
      <c r="F306" s="106"/>
      <c r="G306" s="106"/>
      <c r="H306" s="106">
        <v>7500</v>
      </c>
      <c r="I306" s="106"/>
    </row>
    <row r="307" spans="1:9" ht="15" customHeight="1">
      <c r="A307" s="46" t="s">
        <v>62</v>
      </c>
      <c r="B307" s="105">
        <f t="shared" si="4"/>
        <v>25578</v>
      </c>
      <c r="C307" s="106"/>
      <c r="D307" s="106">
        <f>12789+D308</f>
        <v>25578</v>
      </c>
      <c r="E307" s="106"/>
      <c r="F307" s="106"/>
      <c r="G307" s="106"/>
      <c r="H307" s="106"/>
      <c r="I307" s="106"/>
    </row>
    <row r="308" spans="1:9" ht="15" customHeight="1">
      <c r="A308" s="126" t="s">
        <v>646</v>
      </c>
      <c r="B308" s="105">
        <f t="shared" si="4"/>
        <v>12789</v>
      </c>
      <c r="C308" s="106"/>
      <c r="D308" s="106">
        <v>12789</v>
      </c>
      <c r="E308" s="106"/>
      <c r="F308" s="106"/>
      <c r="G308" s="106"/>
      <c r="H308" s="106"/>
      <c r="I308" s="106"/>
    </row>
    <row r="309" spans="1:9" ht="30" customHeight="1">
      <c r="A309" s="45" t="s">
        <v>202</v>
      </c>
      <c r="B309" s="105">
        <f t="shared" si="4"/>
        <v>23294</v>
      </c>
      <c r="C309" s="106">
        <v>7935</v>
      </c>
      <c r="D309" s="106">
        <v>15359</v>
      </c>
      <c r="E309" s="106"/>
      <c r="F309" s="106"/>
      <c r="G309" s="106"/>
      <c r="H309" s="106"/>
      <c r="I309" s="116"/>
    </row>
    <row r="310" spans="1:9" ht="37.5" customHeight="1">
      <c r="A310" s="46" t="s">
        <v>187</v>
      </c>
      <c r="B310" s="105">
        <f t="shared" si="4"/>
        <v>20596</v>
      </c>
      <c r="C310" s="106">
        <v>14686</v>
      </c>
      <c r="D310" s="106">
        <v>5910</v>
      </c>
      <c r="E310" s="106"/>
      <c r="F310" s="106"/>
      <c r="G310" s="106"/>
      <c r="H310" s="106"/>
      <c r="I310" s="106"/>
    </row>
    <row r="311" spans="1:9" ht="27.75" customHeight="1">
      <c r="A311" s="46" t="s">
        <v>188</v>
      </c>
      <c r="B311" s="105">
        <f t="shared" si="4"/>
        <v>24098</v>
      </c>
      <c r="C311" s="106">
        <v>15493</v>
      </c>
      <c r="D311" s="106">
        <v>8455</v>
      </c>
      <c r="E311" s="106"/>
      <c r="F311" s="106"/>
      <c r="G311" s="106">
        <v>150</v>
      </c>
      <c r="H311" s="106"/>
      <c r="I311" s="106"/>
    </row>
    <row r="312" spans="1:9" ht="35.25" customHeight="1">
      <c r="A312" s="46" t="s">
        <v>184</v>
      </c>
      <c r="B312" s="105">
        <f t="shared" si="4"/>
        <v>23863</v>
      </c>
      <c r="C312" s="106">
        <v>13324</v>
      </c>
      <c r="D312" s="106">
        <v>10539</v>
      </c>
      <c r="E312" s="106"/>
      <c r="F312" s="106"/>
      <c r="G312" s="106"/>
      <c r="H312" s="106"/>
      <c r="I312" s="106"/>
    </row>
    <row r="313" spans="1:9" ht="27" customHeight="1">
      <c r="A313" s="46" t="s">
        <v>205</v>
      </c>
      <c r="B313" s="105">
        <f t="shared" si="4"/>
        <v>22060</v>
      </c>
      <c r="C313" s="106">
        <v>13580</v>
      </c>
      <c r="D313" s="106">
        <v>8480</v>
      </c>
      <c r="E313" s="106"/>
      <c r="F313" s="106"/>
      <c r="G313" s="106"/>
      <c r="H313" s="106"/>
      <c r="I313" s="106"/>
    </row>
    <row r="314" spans="1:9" ht="27.75" customHeight="1">
      <c r="A314" s="46" t="s">
        <v>186</v>
      </c>
      <c r="B314" s="105">
        <f t="shared" si="4"/>
        <v>21883</v>
      </c>
      <c r="C314" s="106">
        <v>12658</v>
      </c>
      <c r="D314" s="106">
        <v>9225</v>
      </c>
      <c r="E314" s="106"/>
      <c r="F314" s="106"/>
      <c r="G314" s="106"/>
      <c r="H314" s="106"/>
      <c r="I314" s="106"/>
    </row>
    <row r="315" spans="1:9" ht="28.5" customHeight="1">
      <c r="A315" s="47" t="s">
        <v>194</v>
      </c>
      <c r="B315" s="105">
        <f t="shared" si="4"/>
        <v>92220</v>
      </c>
      <c r="C315" s="109">
        <v>39665</v>
      </c>
      <c r="D315" s="106">
        <v>52555</v>
      </c>
      <c r="E315" s="110"/>
      <c r="F315" s="110"/>
      <c r="G315" s="110"/>
      <c r="H315" s="110"/>
      <c r="I315" s="110"/>
    </row>
    <row r="316" spans="1:9" ht="29.25" customHeight="1">
      <c r="A316" s="46" t="s">
        <v>604</v>
      </c>
      <c r="B316" s="105">
        <f t="shared" si="4"/>
        <v>32014</v>
      </c>
      <c r="C316" s="106">
        <v>21673</v>
      </c>
      <c r="D316" s="106">
        <v>10341</v>
      </c>
      <c r="E316" s="106"/>
      <c r="F316" s="106"/>
      <c r="G316" s="106"/>
      <c r="H316" s="106"/>
      <c r="I316" s="106"/>
    </row>
    <row r="317" spans="1:9" ht="27.75" customHeight="1">
      <c r="A317" s="46" t="s">
        <v>149</v>
      </c>
      <c r="B317" s="105">
        <f t="shared" si="4"/>
        <v>28061</v>
      </c>
      <c r="C317" s="106">
        <v>12622</v>
      </c>
      <c r="D317" s="106">
        <v>15439</v>
      </c>
      <c r="E317" s="106"/>
      <c r="F317" s="106"/>
      <c r="G317" s="106"/>
      <c r="H317" s="106"/>
      <c r="I317" s="106"/>
    </row>
    <row r="318" spans="1:9" ht="19.5" customHeight="1">
      <c r="A318" s="46" t="s">
        <v>207</v>
      </c>
      <c r="B318" s="105">
        <f t="shared" si="4"/>
        <v>35185</v>
      </c>
      <c r="C318" s="106">
        <v>23489</v>
      </c>
      <c r="D318" s="106">
        <v>11696</v>
      </c>
      <c r="E318" s="106"/>
      <c r="F318" s="106"/>
      <c r="G318" s="106"/>
      <c r="H318" s="106"/>
      <c r="I318" s="106"/>
    </row>
    <row r="319" spans="1:9" ht="29.25" customHeight="1">
      <c r="A319" s="46" t="s">
        <v>201</v>
      </c>
      <c r="B319" s="105">
        <f t="shared" si="4"/>
        <v>21535</v>
      </c>
      <c r="C319" s="106">
        <v>13224</v>
      </c>
      <c r="D319" s="106">
        <v>8311</v>
      </c>
      <c r="E319" s="106"/>
      <c r="F319" s="106"/>
      <c r="G319" s="106"/>
      <c r="H319" s="106"/>
      <c r="I319" s="106"/>
    </row>
    <row r="320" spans="1:9" ht="18" customHeight="1">
      <c r="A320" s="46" t="s">
        <v>203</v>
      </c>
      <c r="B320" s="105">
        <f t="shared" si="4"/>
        <v>20430</v>
      </c>
      <c r="C320" s="106">
        <v>14015</v>
      </c>
      <c r="D320" s="106">
        <f>5827+D321</f>
        <v>6415</v>
      </c>
      <c r="E320" s="106"/>
      <c r="F320" s="106"/>
      <c r="G320" s="106"/>
      <c r="H320" s="106"/>
      <c r="I320" s="106"/>
    </row>
    <row r="321" spans="1:9" ht="30" customHeight="1">
      <c r="A321" s="126" t="s">
        <v>646</v>
      </c>
      <c r="B321" s="105">
        <f t="shared" si="4"/>
        <v>588</v>
      </c>
      <c r="C321" s="106"/>
      <c r="D321" s="106">
        <v>588</v>
      </c>
      <c r="E321" s="106"/>
      <c r="F321" s="106"/>
      <c r="G321" s="106"/>
      <c r="H321" s="106"/>
      <c r="I321" s="106"/>
    </row>
    <row r="322" spans="1:9" ht="28.5" customHeight="1">
      <c r="A322" s="46" t="s">
        <v>193</v>
      </c>
      <c r="B322" s="105">
        <f t="shared" si="4"/>
        <v>169104</v>
      </c>
      <c r="C322" s="106">
        <v>14104</v>
      </c>
      <c r="D322" s="106">
        <v>13597</v>
      </c>
      <c r="E322" s="106"/>
      <c r="F322" s="106"/>
      <c r="G322" s="106">
        <f>75+141328</f>
        <v>141403</v>
      </c>
      <c r="H322" s="106"/>
      <c r="I322" s="106"/>
    </row>
    <row r="323" spans="1:9" ht="15" customHeight="1">
      <c r="A323" s="44" t="s">
        <v>46</v>
      </c>
      <c r="B323" s="105">
        <f t="shared" si="4"/>
        <v>8000</v>
      </c>
      <c r="C323" s="106"/>
      <c r="D323" s="106"/>
      <c r="E323" s="106"/>
      <c r="F323" s="106"/>
      <c r="G323" s="106"/>
      <c r="H323" s="106">
        <v>8000</v>
      </c>
      <c r="I323" s="106"/>
    </row>
    <row r="324" spans="1:9" ht="35.25" customHeight="1">
      <c r="A324" s="45" t="s">
        <v>76</v>
      </c>
      <c r="B324" s="105">
        <f t="shared" si="4"/>
        <v>151350</v>
      </c>
      <c r="C324" s="106"/>
      <c r="D324" s="106">
        <v>1350</v>
      </c>
      <c r="E324" s="106"/>
      <c r="F324" s="106"/>
      <c r="G324" s="106"/>
      <c r="H324" s="106"/>
      <c r="I324" s="106">
        <v>150000</v>
      </c>
    </row>
    <row r="325" spans="1:9" ht="30" customHeight="1">
      <c r="A325" s="45" t="s">
        <v>59</v>
      </c>
      <c r="B325" s="105">
        <f t="shared" si="4"/>
        <v>4999</v>
      </c>
      <c r="C325" s="106">
        <v>371</v>
      </c>
      <c r="D325" s="106">
        <v>2628</v>
      </c>
      <c r="E325" s="106"/>
      <c r="F325" s="106"/>
      <c r="G325" s="106">
        <v>2000</v>
      </c>
      <c r="H325" s="106"/>
      <c r="I325" s="106"/>
    </row>
    <row r="326" spans="1:9" ht="30" customHeight="1">
      <c r="A326" s="45" t="s">
        <v>219</v>
      </c>
      <c r="B326" s="105">
        <f t="shared" si="4"/>
        <v>61459</v>
      </c>
      <c r="C326" s="106">
        <v>27699</v>
      </c>
      <c r="D326" s="106">
        <v>31000</v>
      </c>
      <c r="E326" s="106">
        <v>2760</v>
      </c>
      <c r="F326" s="106"/>
      <c r="G326" s="106"/>
      <c r="H326" s="106"/>
      <c r="I326" s="106"/>
    </row>
    <row r="327" spans="1:9" ht="30" customHeight="1">
      <c r="A327" s="46" t="s">
        <v>153</v>
      </c>
      <c r="B327" s="105">
        <f t="shared" si="4"/>
        <v>76655</v>
      </c>
      <c r="C327" s="106">
        <v>43280</v>
      </c>
      <c r="D327" s="106">
        <v>30375</v>
      </c>
      <c r="E327" s="106"/>
      <c r="F327" s="106"/>
      <c r="G327" s="106">
        <v>3000</v>
      </c>
      <c r="H327" s="106"/>
      <c r="I327" s="106"/>
    </row>
    <row r="328" spans="1:9" ht="30" customHeight="1">
      <c r="A328" s="45" t="s">
        <v>242</v>
      </c>
      <c r="B328" s="105">
        <f t="shared" si="4"/>
        <v>2150</v>
      </c>
      <c r="C328" s="106">
        <v>86</v>
      </c>
      <c r="D328" s="106">
        <v>2064</v>
      </c>
      <c r="E328" s="106"/>
      <c r="F328" s="106"/>
      <c r="G328" s="106"/>
      <c r="H328" s="106"/>
      <c r="I328" s="106"/>
    </row>
    <row r="329" spans="1:9" ht="30" customHeight="1">
      <c r="A329" s="45" t="s">
        <v>611</v>
      </c>
      <c r="B329" s="105">
        <f t="shared" si="4"/>
        <v>4415</v>
      </c>
      <c r="C329" s="106">
        <v>2000</v>
      </c>
      <c r="D329" s="106">
        <v>2415</v>
      </c>
      <c r="E329" s="106"/>
      <c r="F329" s="106"/>
      <c r="G329" s="106"/>
      <c r="H329" s="106"/>
      <c r="I329" s="106"/>
    </row>
    <row r="330" spans="1:9" ht="30" customHeight="1">
      <c r="A330" s="45" t="s">
        <v>615</v>
      </c>
      <c r="B330" s="105">
        <f t="shared" si="4"/>
        <v>8111</v>
      </c>
      <c r="C330" s="106"/>
      <c r="D330" s="106">
        <v>8111</v>
      </c>
      <c r="E330" s="106"/>
      <c r="F330" s="106"/>
      <c r="G330" s="106"/>
      <c r="H330" s="106"/>
      <c r="I330" s="106"/>
    </row>
    <row r="331" spans="1:9" ht="30" customHeight="1">
      <c r="A331" s="45" t="s">
        <v>614</v>
      </c>
      <c r="B331" s="105">
        <f t="shared" si="4"/>
        <v>4370</v>
      </c>
      <c r="C331" s="106"/>
      <c r="D331" s="106">
        <v>4370</v>
      </c>
      <c r="E331" s="106"/>
      <c r="F331" s="106"/>
      <c r="G331" s="106"/>
      <c r="H331" s="106"/>
      <c r="I331" s="106"/>
    </row>
    <row r="332" spans="1:9" ht="30" customHeight="1">
      <c r="A332" s="45" t="s">
        <v>255</v>
      </c>
      <c r="B332" s="105">
        <f t="shared" si="4"/>
        <v>15589</v>
      </c>
      <c r="C332" s="106"/>
      <c r="D332" s="106">
        <v>15589</v>
      </c>
      <c r="E332" s="106"/>
      <c r="F332" s="106"/>
      <c r="G332" s="106"/>
      <c r="H332" s="106"/>
      <c r="I332" s="106"/>
    </row>
    <row r="333" spans="1:9" ht="30" customHeight="1">
      <c r="A333" s="43" t="s">
        <v>241</v>
      </c>
      <c r="B333" s="105">
        <f t="shared" si="5" ref="B333:B386">=SUM(C333:I333)</f>
        <v>17793</v>
      </c>
      <c r="C333" s="106">
        <v>1213</v>
      </c>
      <c r="D333" s="106">
        <v>16580</v>
      </c>
      <c r="E333" s="106"/>
      <c r="F333" s="106"/>
      <c r="G333" s="106"/>
      <c r="H333" s="106"/>
      <c r="I333" s="106"/>
    </row>
    <row r="334" spans="1:9" ht="15" customHeight="1">
      <c r="A334" s="47" t="s">
        <v>572</v>
      </c>
      <c r="B334" s="105">
        <f t="shared" si="5"/>
        <v>33496</v>
      </c>
      <c r="C334" s="110"/>
      <c r="D334" s="106">
        <v>33496</v>
      </c>
      <c r="E334" s="110"/>
      <c r="F334" s="110"/>
      <c r="G334" s="110"/>
      <c r="H334" s="110"/>
      <c r="I334" s="110"/>
    </row>
    <row r="335" spans="1:9" ht="30" customHeight="1">
      <c r="A335" s="45" t="s">
        <v>256</v>
      </c>
      <c r="B335" s="105">
        <f t="shared" si="5"/>
        <v>11450</v>
      </c>
      <c r="C335" s="106">
        <v>3750</v>
      </c>
      <c r="D335" s="106">
        <v>7700</v>
      </c>
      <c r="E335" s="106"/>
      <c r="F335" s="106"/>
      <c r="G335" s="106"/>
      <c r="H335" s="106"/>
      <c r="I335" s="106"/>
    </row>
    <row r="336" spans="1:9" ht="33.75" customHeight="1">
      <c r="A336" s="45" t="s">
        <v>647</v>
      </c>
      <c r="B336" s="105">
        <f t="shared" si="5"/>
        <v>4000</v>
      </c>
      <c r="C336" s="106"/>
      <c r="D336" s="106">
        <v>4000</v>
      </c>
      <c r="E336" s="106"/>
      <c r="F336" s="106"/>
      <c r="G336" s="106"/>
      <c r="H336" s="106"/>
      <c r="I336" s="106"/>
    </row>
    <row r="337" spans="1:9" ht="30" customHeight="1">
      <c r="A337" s="45" t="s">
        <v>663</v>
      </c>
      <c r="B337" s="105">
        <f t="shared" si="5"/>
        <v>79852</v>
      </c>
      <c r="C337" s="106">
        <v>79078</v>
      </c>
      <c r="D337" s="106">
        <v>774</v>
      </c>
      <c r="E337" s="106"/>
      <c r="F337" s="106"/>
      <c r="G337" s="106"/>
      <c r="H337" s="106"/>
      <c r="I337" s="106"/>
    </row>
    <row r="338" spans="1:9" ht="30" customHeight="1">
      <c r="A338" s="45" t="s">
        <v>247</v>
      </c>
      <c r="B338" s="105">
        <f t="shared" si="5"/>
        <v>51760</v>
      </c>
      <c r="C338" s="106"/>
      <c r="D338" s="106"/>
      <c r="E338" s="106"/>
      <c r="F338" s="106"/>
      <c r="G338" s="106">
        <v>51760</v>
      </c>
      <c r="H338" s="106"/>
      <c r="I338" s="106"/>
    </row>
    <row r="339" spans="1:9" ht="30" customHeight="1">
      <c r="A339" s="45" t="s">
        <v>243</v>
      </c>
      <c r="B339" s="105">
        <f t="shared" si="5"/>
        <v>796001</v>
      </c>
      <c r="C339" s="106"/>
      <c r="D339" s="106"/>
      <c r="E339" s="106"/>
      <c r="F339" s="106"/>
      <c r="G339" s="106">
        <v>796001</v>
      </c>
      <c r="H339" s="106"/>
      <c r="I339" s="106"/>
    </row>
    <row r="340" spans="1:9" ht="45" customHeight="1">
      <c r="A340" s="45" t="s">
        <v>246</v>
      </c>
      <c r="B340" s="105">
        <f t="shared" si="5"/>
        <v>380787</v>
      </c>
      <c r="C340" s="106"/>
      <c r="D340" s="106"/>
      <c r="E340" s="106"/>
      <c r="F340" s="106"/>
      <c r="G340" s="106">
        <v>380787</v>
      </c>
      <c r="H340" s="106"/>
      <c r="I340" s="106"/>
    </row>
    <row r="341" spans="1:9" ht="30" customHeight="1">
      <c r="A341" s="44" t="s">
        <v>48</v>
      </c>
      <c r="B341" s="105">
        <f t="shared" si="5"/>
        <v>237717</v>
      </c>
      <c r="C341" s="106">
        <v>218584</v>
      </c>
      <c r="D341" s="106">
        <v>19133</v>
      </c>
      <c r="E341" s="106"/>
      <c r="F341" s="106"/>
      <c r="G341" s="106"/>
      <c r="H341" s="106"/>
      <c r="I341" s="106"/>
    </row>
    <row r="342" spans="1:9" ht="30" customHeight="1">
      <c r="A342" s="44" t="s">
        <v>178</v>
      </c>
      <c r="B342" s="105">
        <f t="shared" si="5"/>
        <v>676779</v>
      </c>
      <c r="C342" s="106">
        <v>598528</v>
      </c>
      <c r="D342" s="106">
        <v>78251</v>
      </c>
      <c r="E342" s="106"/>
      <c r="F342" s="106"/>
      <c r="G342" s="106"/>
      <c r="H342" s="106"/>
      <c r="I342" s="106"/>
    </row>
    <row r="343" spans="1:9" ht="15" customHeight="1">
      <c r="A343" s="44" t="s">
        <v>228</v>
      </c>
      <c r="B343" s="105">
        <f t="shared" si="5"/>
        <v>960073</v>
      </c>
      <c r="C343" s="106"/>
      <c r="D343" s="106"/>
      <c r="E343" s="106"/>
      <c r="F343" s="106"/>
      <c r="G343" s="106"/>
      <c r="H343" s="106">
        <v>960073</v>
      </c>
      <c r="I343" s="106"/>
    </row>
    <row r="344" spans="1:9" ht="45" customHeight="1">
      <c r="A344" s="44" t="s">
        <v>172</v>
      </c>
      <c r="B344" s="105">
        <f>SUM(C344:I344)</f>
        <v>22990</v>
      </c>
      <c r="C344" s="106"/>
      <c r="D344" s="106"/>
      <c r="E344" s="106"/>
      <c r="F344" s="106"/>
      <c r="G344" s="106"/>
      <c r="H344" s="106">
        <v>22990</v>
      </c>
      <c r="I344" s="106"/>
    </row>
    <row r="345" spans="1:9" ht="37.5" customHeight="1">
      <c r="A345" s="44" t="s">
        <v>49</v>
      </c>
      <c r="B345" s="105">
        <f t="shared" si="5"/>
        <v>21813</v>
      </c>
      <c r="C345" s="106"/>
      <c r="D345" s="106">
        <v>21813</v>
      </c>
      <c r="E345" s="106"/>
      <c r="F345" s="106"/>
      <c r="G345" s="106"/>
      <c r="H345" s="106"/>
      <c r="I345" s="106"/>
    </row>
    <row r="346" spans="1:9" ht="45" customHeight="1">
      <c r="A346" s="44" t="s">
        <v>61</v>
      </c>
      <c r="B346" s="105">
        <f t="shared" si="5"/>
        <v>146740</v>
      </c>
      <c r="C346" s="106">
        <v>45671</v>
      </c>
      <c r="D346" s="106">
        <v>5509</v>
      </c>
      <c r="E346" s="106"/>
      <c r="F346" s="106"/>
      <c r="G346" s="106">
        <v>680</v>
      </c>
      <c r="H346" s="106">
        <v>94880</v>
      </c>
      <c r="I346" s="106"/>
    </row>
    <row r="347" spans="1:9" ht="30" customHeight="1">
      <c r="A347" s="44" t="s">
        <v>47</v>
      </c>
      <c r="B347" s="105">
        <f t="shared" si="5"/>
        <v>1619844</v>
      </c>
      <c r="C347" s="106">
        <v>934580</v>
      </c>
      <c r="D347" s="106">
        <v>683664</v>
      </c>
      <c r="E347" s="106"/>
      <c r="F347" s="106"/>
      <c r="G347" s="106"/>
      <c r="H347" s="106">
        <v>1600</v>
      </c>
      <c r="I347" s="106"/>
    </row>
    <row r="348" spans="1:9" ht="45" customHeight="1">
      <c r="A348" s="44" t="s">
        <v>121</v>
      </c>
      <c r="B348" s="105">
        <f t="shared" si="5"/>
        <v>299672</v>
      </c>
      <c r="C348" s="106">
        <v>193546</v>
      </c>
      <c r="D348" s="106">
        <v>106126</v>
      </c>
      <c r="E348" s="106"/>
      <c r="F348" s="106"/>
      <c r="G348" s="106"/>
      <c r="H348" s="106"/>
      <c r="I348" s="106"/>
    </row>
    <row r="349" spans="1:9" ht="28.5" customHeight="1">
      <c r="A349" s="43" t="s">
        <v>123</v>
      </c>
      <c r="B349" s="105">
        <f t="shared" si="5"/>
        <v>192857</v>
      </c>
      <c r="C349" s="106">
        <v>128124</v>
      </c>
      <c r="D349" s="106">
        <f>60554+D350</f>
        <v>63933</v>
      </c>
      <c r="E349" s="106"/>
      <c r="F349" s="106"/>
      <c r="G349" s="106"/>
      <c r="H349" s="106">
        <v>800</v>
      </c>
      <c r="I349" s="106"/>
    </row>
    <row r="350" spans="1:9" ht="27.75" customHeight="1">
      <c r="A350" s="133" t="s">
        <v>646</v>
      </c>
      <c r="B350" s="105">
        <f t="shared" si="5"/>
        <v>3379</v>
      </c>
      <c r="C350" s="106"/>
      <c r="D350" s="106">
        <f>884+2495</f>
        <v>3379</v>
      </c>
      <c r="E350" s="106"/>
      <c r="F350" s="106"/>
      <c r="G350" s="106"/>
      <c r="H350" s="106"/>
      <c r="I350" s="106"/>
    </row>
    <row r="351" spans="1:9" ht="45" customHeight="1">
      <c r="A351" s="43" t="s">
        <v>122</v>
      </c>
      <c r="B351" s="105">
        <f t="shared" si="5"/>
        <v>274102</v>
      </c>
      <c r="C351" s="106">
        <v>192908</v>
      </c>
      <c r="D351" s="106">
        <f>76694+D352</f>
        <v>80154</v>
      </c>
      <c r="E351" s="106"/>
      <c r="F351" s="106"/>
      <c r="G351" s="106"/>
      <c r="H351" s="106">
        <v>1040</v>
      </c>
      <c r="I351" s="106"/>
    </row>
    <row r="352" spans="1:9" ht="26.25" customHeight="1">
      <c r="A352" s="133" t="s">
        <v>646</v>
      </c>
      <c r="B352" s="105">
        <f t="shared" si="5"/>
        <v>3460</v>
      </c>
      <c r="C352" s="106"/>
      <c r="D352" s="106">
        <v>3460</v>
      </c>
      <c r="E352" s="106"/>
      <c r="F352" s="106"/>
      <c r="G352" s="106"/>
      <c r="H352" s="106"/>
      <c r="I352" s="106"/>
    </row>
    <row r="353" spans="1:9" ht="15" customHeight="1">
      <c r="A353" s="45" t="s">
        <v>79</v>
      </c>
      <c r="B353" s="105">
        <f t="shared" si="5"/>
        <v>311921</v>
      </c>
      <c r="C353" s="106">
        <v>225695</v>
      </c>
      <c r="D353" s="106">
        <v>78826</v>
      </c>
      <c r="E353" s="106"/>
      <c r="F353" s="106"/>
      <c r="G353" s="106"/>
      <c r="H353" s="106">
        <v>7400</v>
      </c>
      <c r="I353" s="106"/>
    </row>
    <row r="354" spans="1:9" ht="15" customHeight="1">
      <c r="A354" s="47" t="s">
        <v>179</v>
      </c>
      <c r="B354" s="105">
        <f t="shared" si="5"/>
        <v>81177</v>
      </c>
      <c r="C354" s="117">
        <v>69999</v>
      </c>
      <c r="D354" s="106">
        <v>11178</v>
      </c>
      <c r="E354" s="118"/>
      <c r="F354" s="118"/>
      <c r="G354" s="118"/>
      <c r="H354" s="118"/>
      <c r="I354" s="118"/>
    </row>
    <row r="355" spans="1:9" ht="30" customHeight="1">
      <c r="A355" s="46" t="s">
        <v>180</v>
      </c>
      <c r="B355" s="105">
        <f t="shared" si="5"/>
        <v>132055</v>
      </c>
      <c r="C355" s="106">
        <v>105188</v>
      </c>
      <c r="D355" s="106">
        <v>26867</v>
      </c>
      <c r="E355" s="106"/>
      <c r="F355" s="106"/>
      <c r="G355" s="106"/>
      <c r="H355" s="106"/>
      <c r="I355" s="106"/>
    </row>
    <row r="356" spans="1:9" ht="30" customHeight="1">
      <c r="A356" s="50" t="s">
        <v>160</v>
      </c>
      <c r="B356" s="105">
        <f t="shared" si="5"/>
        <v>5535</v>
      </c>
      <c r="C356" s="119">
        <v>4790</v>
      </c>
      <c r="D356" s="106">
        <v>745</v>
      </c>
      <c r="E356" s="120"/>
      <c r="F356" s="120"/>
      <c r="G356" s="120"/>
      <c r="H356" s="120"/>
      <c r="I356" s="120"/>
    </row>
    <row r="357" spans="1:9" ht="15" customHeight="1">
      <c r="A357" s="51" t="s">
        <v>571</v>
      </c>
      <c r="B357" s="105">
        <f t="shared" si="5"/>
        <v>620</v>
      </c>
      <c r="C357" s="114"/>
      <c r="D357" s="106">
        <v>620</v>
      </c>
      <c r="E357" s="115"/>
      <c r="F357" s="115"/>
      <c r="G357" s="115"/>
      <c r="H357" s="115"/>
      <c r="I357" s="115"/>
    </row>
    <row r="358" spans="1:9" ht="15" customHeight="1">
      <c r="A358" s="44" t="s">
        <v>50</v>
      </c>
      <c r="B358" s="105">
        <f t="shared" si="5"/>
        <v>484637</v>
      </c>
      <c r="C358" s="106">
        <v>433127</v>
      </c>
      <c r="D358" s="106">
        <v>49510</v>
      </c>
      <c r="E358" s="106"/>
      <c r="F358" s="106"/>
      <c r="G358" s="106">
        <v>2000</v>
      </c>
      <c r="H358" s="106"/>
      <c r="I358" s="106"/>
    </row>
    <row r="359" spans="1:9" ht="15" customHeight="1">
      <c r="A359" s="45" t="s">
        <v>56</v>
      </c>
      <c r="B359" s="105">
        <f t="shared" si="5"/>
        <v>462678</v>
      </c>
      <c r="C359" s="106">
        <v>128165</v>
      </c>
      <c r="D359" s="106">
        <v>7600</v>
      </c>
      <c r="E359" s="106"/>
      <c r="F359" s="106"/>
      <c r="G359" s="106">
        <v>37383</v>
      </c>
      <c r="H359" s="106">
        <v>289530</v>
      </c>
      <c r="I359" s="106"/>
    </row>
    <row r="360" spans="1:9" ht="15" customHeight="1">
      <c r="A360" s="44" t="s">
        <v>55</v>
      </c>
      <c r="B360" s="105">
        <f t="shared" si="5"/>
        <v>58312</v>
      </c>
      <c r="C360" s="106">
        <v>35180</v>
      </c>
      <c r="D360" s="106">
        <v>21299</v>
      </c>
      <c r="E360" s="106"/>
      <c r="F360" s="106"/>
      <c r="G360" s="106">
        <v>1833</v>
      </c>
      <c r="H360" s="106"/>
      <c r="I360" s="106"/>
    </row>
    <row r="361" spans="1:9" ht="15" customHeight="1">
      <c r="A361" s="45" t="s">
        <v>221</v>
      </c>
      <c r="B361" s="105">
        <f t="shared" si="5"/>
        <v>1450</v>
      </c>
      <c r="C361" s="106"/>
      <c r="D361" s="106"/>
      <c r="E361" s="106">
        <v>1450</v>
      </c>
      <c r="F361" s="106"/>
      <c r="G361" s="106"/>
      <c r="H361" s="106"/>
      <c r="I361" s="106"/>
    </row>
    <row r="362" spans="1:9" ht="15" customHeight="1">
      <c r="A362" s="45" t="s">
        <v>222</v>
      </c>
      <c r="B362" s="105">
        <f t="shared" si="5"/>
        <v>1200</v>
      </c>
      <c r="C362" s="106"/>
      <c r="D362" s="106"/>
      <c r="E362" s="106">
        <v>1200</v>
      </c>
      <c r="F362" s="106"/>
      <c r="G362" s="106"/>
      <c r="H362" s="106"/>
      <c r="I362" s="106"/>
    </row>
    <row r="363" spans="1:9" ht="15" customHeight="1">
      <c r="A363" s="45" t="s">
        <v>223</v>
      </c>
      <c r="B363" s="105">
        <f t="shared" si="5"/>
        <v>2000</v>
      </c>
      <c r="C363" s="106"/>
      <c r="D363" s="106"/>
      <c r="E363" s="106">
        <v>2000</v>
      </c>
      <c r="F363" s="106"/>
      <c r="G363" s="106"/>
      <c r="H363" s="106"/>
      <c r="I363" s="106"/>
    </row>
    <row r="364" spans="1:9" ht="15" customHeight="1">
      <c r="A364" s="45" t="s">
        <v>231</v>
      </c>
      <c r="B364" s="105">
        <f t="shared" si="5"/>
        <v>516949</v>
      </c>
      <c r="C364" s="106"/>
      <c r="D364" s="106"/>
      <c r="E364" s="106"/>
      <c r="F364" s="106"/>
      <c r="G364" s="106">
        <v>516949</v>
      </c>
      <c r="H364" s="106"/>
      <c r="I364" s="106"/>
    </row>
    <row r="365" spans="1:9" ht="15" customHeight="1">
      <c r="A365" s="45" t="s">
        <v>565</v>
      </c>
      <c r="B365" s="105">
        <f t="shared" si="5"/>
        <v>20812</v>
      </c>
      <c r="C365" s="106"/>
      <c r="D365" s="106"/>
      <c r="E365" s="106"/>
      <c r="F365" s="106"/>
      <c r="G365" s="106">
        <v>20812</v>
      </c>
      <c r="H365" s="106"/>
      <c r="I365" s="106"/>
    </row>
    <row r="366" spans="1:9" ht="15" customHeight="1">
      <c r="A366" s="45" t="s">
        <v>601</v>
      </c>
      <c r="B366" s="105">
        <f t="shared" si="5"/>
        <v>10742</v>
      </c>
      <c r="C366" s="106"/>
      <c r="D366" s="106"/>
      <c r="E366" s="106"/>
      <c r="F366" s="106"/>
      <c r="G366" s="106">
        <v>10742</v>
      </c>
      <c r="H366" s="106"/>
      <c r="I366" s="106"/>
    </row>
    <row r="367" spans="1:9" ht="15" customHeight="1">
      <c r="A367" s="45" t="s">
        <v>598</v>
      </c>
      <c r="B367" s="105">
        <f t="shared" si="5"/>
        <v>138837</v>
      </c>
      <c r="C367" s="106"/>
      <c r="D367" s="106"/>
      <c r="E367" s="106"/>
      <c r="F367" s="106"/>
      <c r="G367" s="106">
        <v>138837</v>
      </c>
      <c r="H367" s="106"/>
      <c r="I367" s="106"/>
    </row>
    <row r="368" spans="1:9" ht="30" customHeight="1">
      <c r="A368" s="45" t="s">
        <v>622</v>
      </c>
      <c r="B368" s="105">
        <f t="shared" si="5"/>
        <v>257344</v>
      </c>
      <c r="C368" s="106"/>
      <c r="D368" s="106"/>
      <c r="E368" s="106"/>
      <c r="F368" s="106"/>
      <c r="G368" s="106">
        <v>257344</v>
      </c>
      <c r="H368" s="106"/>
      <c r="I368" s="106"/>
    </row>
    <row r="369" spans="1:9" ht="30" customHeight="1">
      <c r="A369" s="45" t="s">
        <v>639</v>
      </c>
      <c r="B369" s="105">
        <f t="shared" si="5"/>
        <v>12510</v>
      </c>
      <c r="C369" s="106">
        <v>800</v>
      </c>
      <c r="D369" s="106">
        <v>11710</v>
      </c>
      <c r="E369" s="106"/>
      <c r="F369" s="106"/>
      <c r="G369" s="106"/>
      <c r="H369" s="106"/>
      <c r="I369" s="106"/>
    </row>
    <row r="370" spans="1:9" ht="30" customHeight="1">
      <c r="A370" s="45" t="s">
        <v>166</v>
      </c>
      <c r="B370" s="105">
        <f t="shared" si="5"/>
        <v>604497</v>
      </c>
      <c r="C370" s="106"/>
      <c r="D370" s="106"/>
      <c r="E370" s="106"/>
      <c r="F370" s="106"/>
      <c r="G370" s="106">
        <v>604497</v>
      </c>
      <c r="H370" s="106"/>
      <c r="I370" s="106"/>
    </row>
    <row r="371" spans="1:9" ht="30" customHeight="1">
      <c r="A371" s="45" t="s">
        <v>208</v>
      </c>
      <c r="B371" s="105">
        <f t="shared" si="5"/>
        <v>43230</v>
      </c>
      <c r="C371" s="106"/>
      <c r="D371" s="106"/>
      <c r="E371" s="106"/>
      <c r="F371" s="106"/>
      <c r="G371" s="106">
        <v>43230</v>
      </c>
      <c r="H371" s="106"/>
      <c r="I371" s="106"/>
    </row>
    <row r="372" spans="1:9" ht="30" customHeight="1">
      <c r="A372" s="45" t="s">
        <v>624</v>
      </c>
      <c r="B372" s="105">
        <f t="shared" si="5"/>
        <v>14000</v>
      </c>
      <c r="C372" s="106"/>
      <c r="D372" s="106">
        <v>14000</v>
      </c>
      <c r="E372" s="106"/>
      <c r="F372" s="106"/>
      <c r="G372" s="106"/>
      <c r="H372" s="106"/>
      <c r="I372" s="106"/>
    </row>
    <row r="373" spans="1:9" ht="30" customHeight="1">
      <c r="A373" s="45" t="s">
        <v>640</v>
      </c>
      <c r="B373" s="105">
        <f t="shared" si="5"/>
        <v>800</v>
      </c>
      <c r="C373" s="106">
        <v>800</v>
      </c>
      <c r="D373" s="106"/>
      <c r="E373" s="106"/>
      <c r="F373" s="106"/>
      <c r="G373" s="106"/>
      <c r="H373" s="106"/>
      <c r="I373" s="106"/>
    </row>
    <row r="374" spans="1:9" ht="30" customHeight="1">
      <c r="A374" s="45" t="s">
        <v>641</v>
      </c>
      <c r="B374" s="105">
        <f t="shared" si="5"/>
        <v>2000</v>
      </c>
      <c r="C374" s="106"/>
      <c r="D374" s="106"/>
      <c r="E374" s="106"/>
      <c r="F374" s="106"/>
      <c r="G374" s="106">
        <v>2000</v>
      </c>
      <c r="H374" s="106"/>
      <c r="I374" s="106"/>
    </row>
    <row r="375" spans="1:9" ht="30" customHeight="1">
      <c r="A375" s="51" t="s">
        <v>575</v>
      </c>
      <c r="B375" s="105">
        <f t="shared" si="5"/>
        <v>87736</v>
      </c>
      <c r="C375" s="106">
        <v>5096</v>
      </c>
      <c r="D375" s="106">
        <v>80258</v>
      </c>
      <c r="E375" s="106"/>
      <c r="F375" s="106"/>
      <c r="G375" s="106"/>
      <c r="H375" s="106">
        <v>2269</v>
      </c>
      <c r="I375" s="106">
        <v>113</v>
      </c>
    </row>
    <row r="376" spans="1:9" ht="32.1" customHeight="1">
      <c r="A376" s="45" t="s">
        <v>177</v>
      </c>
      <c r="B376" s="105">
        <f t="shared" si="5"/>
        <v>100000</v>
      </c>
      <c r="C376" s="106"/>
      <c r="D376" s="106"/>
      <c r="E376" s="106"/>
      <c r="F376" s="106"/>
      <c r="G376" s="106">
        <v>100000</v>
      </c>
      <c r="H376" s="106"/>
      <c r="I376" s="106"/>
    </row>
    <row r="377" spans="1:9" ht="15" customHeight="1">
      <c r="A377" s="45" t="s">
        <v>568</v>
      </c>
      <c r="B377" s="105">
        <f t="shared" si="5"/>
        <v>5000</v>
      </c>
      <c r="C377" s="106"/>
      <c r="D377" s="106">
        <v>5000</v>
      </c>
      <c r="E377" s="106"/>
      <c r="F377" s="106"/>
      <c r="G377" s="106"/>
      <c r="H377" s="106"/>
      <c r="I377" s="106"/>
    </row>
    <row r="378" spans="1:9" ht="15" customHeight="1">
      <c r="A378" s="45" t="s">
        <v>573</v>
      </c>
      <c r="B378" s="105">
        <f>SUM(C378:I378)</f>
        <v>64302</v>
      </c>
      <c r="C378" s="106">
        <f>1609+1738</f>
        <v>3347</v>
      </c>
      <c r="D378" s="106">
        <v>1840</v>
      </c>
      <c r="E378" s="106"/>
      <c r="F378" s="106"/>
      <c r="G378" s="106">
        <v>1107</v>
      </c>
      <c r="H378" s="106">
        <f>8172+14182</f>
        <v>22354</v>
      </c>
      <c r="I378" s="106">
        <v>35654</v>
      </c>
    </row>
    <row r="379" spans="1:9" ht="30" customHeight="1">
      <c r="A379" s="45" t="s">
        <v>229</v>
      </c>
      <c r="B379" s="105">
        <f t="shared" si="5"/>
        <v>500772</v>
      </c>
      <c r="C379" s="106"/>
      <c r="D379" s="106"/>
      <c r="E379" s="106"/>
      <c r="F379" s="106"/>
      <c r="G379" s="106">
        <v>500772</v>
      </c>
      <c r="H379" s="106"/>
      <c r="I379" s="106"/>
    </row>
    <row r="380" spans="1:9" ht="30" customHeight="1">
      <c r="A380" s="45" t="s">
        <v>230</v>
      </c>
      <c r="B380" s="105">
        <f t="shared" si="5"/>
        <v>353157</v>
      </c>
      <c r="C380" s="106"/>
      <c r="D380" s="106"/>
      <c r="E380" s="106"/>
      <c r="F380" s="106"/>
      <c r="G380" s="106">
        <v>353157</v>
      </c>
      <c r="H380" s="106"/>
      <c r="I380" s="106"/>
    </row>
    <row r="381" spans="1:9" ht="46.5" customHeight="1">
      <c r="A381" s="45" t="s">
        <v>609</v>
      </c>
      <c r="B381" s="105">
        <f t="shared" si="5"/>
        <v>773368</v>
      </c>
      <c r="C381" s="106"/>
      <c r="D381" s="106"/>
      <c r="E381" s="106"/>
      <c r="F381" s="106"/>
      <c r="G381" s="106">
        <f>733744+39624</f>
        <v>773368</v>
      </c>
      <c r="H381" s="106"/>
      <c r="I381" s="106"/>
    </row>
    <row r="382" spans="1:9" ht="46.5" customHeight="1">
      <c r="A382" s="132" t="s">
        <v>671</v>
      </c>
      <c r="B382" s="105">
        <f t="shared" si="5"/>
        <v>5000</v>
      </c>
      <c r="C382" s="106">
        <v>618</v>
      </c>
      <c r="D382" s="106">
        <v>4382</v>
      </c>
      <c r="E382" s="106"/>
      <c r="F382" s="106"/>
      <c r="G382" s="106"/>
      <c r="H382" s="106"/>
      <c r="I382" s="106"/>
    </row>
    <row r="383" spans="1:9" ht="46.5" customHeight="1">
      <c r="A383" s="132" t="s">
        <v>673</v>
      </c>
      <c r="B383" s="105">
        <f t="shared" si="5"/>
        <v>1550</v>
      </c>
      <c r="C383" s="106">
        <v>1550</v>
      </c>
      <c r="D383" s="106"/>
      <c r="E383" s="106"/>
      <c r="F383" s="106"/>
      <c r="G383" s="106"/>
      <c r="H383" s="106"/>
      <c r="I383" s="106"/>
    </row>
    <row r="384" spans="1:9" ht="35.25" customHeight="1">
      <c r="A384" s="132" t="s">
        <v>674</v>
      </c>
      <c r="B384" s="105">
        <f t="shared" si="5"/>
        <v>600</v>
      </c>
      <c r="C384" s="106">
        <v>600</v>
      </c>
      <c r="D384" s="106"/>
      <c r="E384" s="106"/>
      <c r="F384" s="106"/>
      <c r="G384" s="106"/>
      <c r="H384" s="106"/>
      <c r="I384" s="106"/>
    </row>
    <row r="385" spans="1:9" ht="26.25" customHeight="1">
      <c r="A385" s="132" t="s">
        <v>672</v>
      </c>
      <c r="B385" s="105">
        <f t="shared" si="5"/>
        <v>1000</v>
      </c>
      <c r="C385" s="106">
        <v>1000</v>
      </c>
      <c r="D385" s="106"/>
      <c r="E385" s="106"/>
      <c r="F385" s="106"/>
      <c r="G385" s="106"/>
      <c r="H385" s="106"/>
      <c r="I385" s="106"/>
    </row>
    <row r="386" spans="1:9" ht="31.5" customHeight="1">
      <c r="A386" s="132" t="s">
        <v>676</v>
      </c>
      <c r="B386" s="105">
        <f t="shared" si="5"/>
        <v>2530</v>
      </c>
      <c r="C386" s="106"/>
      <c r="D386" s="106"/>
      <c r="E386" s="106"/>
      <c r="F386" s="106"/>
      <c r="G386" s="106"/>
      <c r="H386" s="106">
        <f>2250+140+140</f>
        <v>2530</v>
      </c>
      <c r="I386" s="106"/>
    </row>
    <row r="387" spans="1:9" ht="46.5" customHeight="1">
      <c r="A387" s="132" t="s">
        <v>668</v>
      </c>
      <c r="B387" s="105">
        <f>SUM(C387:I387)</f>
        <v>7056</v>
      </c>
      <c r="C387" s="106">
        <v>7056</v>
      </c>
      <c r="D387" s="106"/>
      <c r="E387" s="106"/>
      <c r="F387" s="106"/>
      <c r="G387" s="106"/>
      <c r="H387" s="106"/>
      <c r="I387" s="106"/>
    </row>
    <row r="388" spans="1:9" ht="15" customHeight="1">
      <c r="A388" s="52" t="s">
        <v>51</v>
      </c>
      <c r="B388" s="121">
        <f>SUM(B18:B387)-B212-B250-B252-B254-B256-B258-B260-B262-B264-B267-B269-B271-B276-B280-B282-B284-B287-B289-B291-B34-B44-B47-B121-B133-B151-B207-B220-B225-B246-B274-B278-B293-B295-B297-B299-B301-B304-B308-B321-B41-B49-B60-B66-B71-B86-B171-B216-B244-B352-B143-B155-B350</f>
        <v>39756735</v>
      </c>
      <c r="C388" s="121">
        <f t="shared" si="6" ref="C388:I388">=SUM(C18:C387)-C212-C250-C252-C254-C256-C258-C260-C262-C264-C267-C269-C271-C276-C280-C282-C284-C287-C289-C291-C34-C44-C47-C121-C133-C151-C207-C220-C225-C246-C274-C278-C293-C295-C297-C299-C301-C304-C308-C321-C41-C49-C60-C66-C71-C86-C171-C216-C244-C352-C143-C155-C350</f>
        <v>22477696</v>
      </c>
      <c r="D388" s="121">
        <f t="shared" si="6"/>
        <v>8954272</v>
      </c>
      <c r="E388" s="121">
        <f t="shared" si="6"/>
        <v>68819</v>
      </c>
      <c r="F388" s="121">
        <f t="shared" si="6"/>
        <v>417830</v>
      </c>
      <c r="G388" s="121">
        <f t="shared" si="6"/>
        <v>5989730</v>
      </c>
      <c r="H388" s="121">
        <f t="shared" si="6"/>
        <v>1640876</v>
      </c>
      <c r="I388" s="121">
        <f t="shared" si="6"/>
        <v>207512</v>
      </c>
    </row>
    <row r="389" spans="1:9" ht="30" customHeight="1">
      <c r="A389" s="53"/>
      <c r="B389" s="123"/>
      <c r="C389" s="122"/>
      <c r="D389" s="122"/>
      <c r="E389" s="122"/>
      <c r="F389" s="122"/>
      <c r="G389" s="122"/>
      <c r="H389" s="122"/>
      <c r="I389" s="122"/>
    </row>
    <row r="390" spans="1:9" ht="30" customHeight="1">
      <c r="A390" s="53"/>
      <c r="B390" s="123"/>
      <c r="C390" s="122"/>
      <c r="D390" s="122"/>
      <c r="E390" s="122"/>
      <c r="F390" s="122"/>
      <c r="G390" s="122"/>
      <c r="H390" s="122"/>
      <c r="I390" s="122"/>
    </row>
    <row r="391" spans="1:9" ht="45" customHeight="1">
      <c r="A391" s="17"/>
      <c r="B391" s="77" t="s">
        <v>162</v>
      </c>
      <c r="C391" s="77"/>
      <c r="D391" s="77"/>
      <c r="E391" s="77"/>
      <c r="F391" s="77"/>
      <c r="G391" s="77"/>
      <c r="H391" s="77"/>
      <c r="I391" s="77"/>
    </row>
    <row r="392" spans="1:9" ht="45" customHeight="1">
      <c r="A392" s="54"/>
      <c r="B392" s="124"/>
      <c r="D392" s="124"/>
      <c r="E392" s="124"/>
      <c r="F392" s="124"/>
      <c r="G392" s="124"/>
      <c r="H392" s="124"/>
      <c r="I392" s="124"/>
    </row>
    <row r="393" spans="3:9" ht="35.25" customHeight="1">
      <c r="C393" s="125"/>
      <c r="D393" s="125"/>
      <c r="E393" s="125"/>
      <c r="F393" s="125"/>
      <c r="G393" s="125"/>
      <c r="H393" s="125"/>
      <c r="I393" s="125"/>
    </row>
    <row r="394" spans="9:9" ht="35.25" customHeight="1">
      <c r="I394" s="125"/>
    </row>
    <row r="395" ht="30" customHeight="1"/>
    <row r="396" ht="15" customHeight="1"/>
    <row r="397" ht="30" customHeight="1"/>
    <row r="398" ht="30" customHeight="1"/>
    <row r="399" spans="5:5" ht="15" customHeight="1">
      <c r="E399" s="125"/>
    </row>
    <row r="400" ht="30" customHeight="1"/>
    <row r="401" ht="30" customHeight="1"/>
    <row r="402" ht="44.25" customHeight="1"/>
    <row r="403" ht="15" customHeight="1"/>
    <row r="404" ht="15" customHeight="1"/>
    <row r="405" ht="15" customHeight="1"/>
    <row r="406" spans="1:9" s="17" customFormat="1" ht="15" customHeight="1">
      <c r="A406" s="41"/>
      <c r="B406" s="61"/>
      <c r="C406" s="61"/>
      <c r="D406" s="61"/>
      <c r="E406" s="61"/>
      <c r="F406" s="61"/>
      <c r="G406" s="61"/>
      <c r="H406" s="61"/>
      <c r="I406" s="61"/>
    </row>
  </sheetData>
  <mergeCells count="4">
    <mergeCell ref="A13:I13"/>
    <mergeCell ref="C15:I15"/>
    <mergeCell ref="A15:A17"/>
    <mergeCell ref="B15:B17"/>
  </mergeCells>
  <printOptions horizontalCentered="1"/>
  <pageMargins left="0.7086614173228347" right="0.7086614173228347" top="0.7480314960629921" bottom="0.7480314960629921" header="0.31496062992125984" footer="0.31496062992125984"/>
  <pageSetup fitToHeight="0" orientation="landscape" paperSize="9" scale="75" r:id="rId3"/>
  <headerFooter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2023-10-26T08:11:18Z</cp:lastPrinted>
  <dcterms:created xsi:type="dcterms:W3CDTF">2014-01-31T18:56:56Z</dcterms:created>
  <dcterms:modified xsi:type="dcterms:W3CDTF">2023-10-26T14:55:36Z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