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'4.pielikums'!$A$9:$Q$293</definedName>
    <definedName name="_xlnm.Print_Area" localSheetId="3">'4.pielikums'!$A$1:$Q$297</definedName>
  </definedNames>
  <calcPr calcId="191029"/>
</workbook>
</file>

<file path=xl/calcChain.xml><?xml version="1.0" encoding="utf-8"?>
<calcChain xmlns="http://schemas.openxmlformats.org/spreadsheetml/2006/main">
  <c r="C69" i="4" l="1"/>
</calcChain>
</file>

<file path=xl/sharedStrings.xml><?xml version="1.0" encoding="utf-8"?>
<sst xmlns="http://schemas.openxmlformats.org/spreadsheetml/2006/main" count="1293" uniqueCount="840">
  <si>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</si>
  <si>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</si>
  <si>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</si>
  <si>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</si>
  <si>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</si>
  <si>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</si>
  <si>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</si>
  <si>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</si>
  <si>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</si>
  <si>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</si>
  <si>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</si>
  <si>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</si>
  <si>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</si>
  <si>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</si>
  <si>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</si>
  <si>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</si>
  <si>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</si>
  <si>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</si>
  <si>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</si>
  <si>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</si>
  <si>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</si>
  <si>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</si>
  <si>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</si>
  <si>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</si>
  <si>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</si>
  <si>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</si>
  <si>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</si>
  <si>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</si>
  <si>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</si>
  <si>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</si>
  <si>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</si>
  <si>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Krišjānu FVP</t>
  </si>
  <si>
    <t>Kubulu VFP</t>
  </si>
  <si>
    <t>Lazdulejas VFP</t>
  </si>
  <si>
    <t>Vectilžas VFP</t>
  </si>
  <si>
    <t>Vīksnas VFP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</si>
  <si>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</si>
  <si>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</si>
  <si>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</si>
  <si>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</si>
  <si>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</si>
  <si>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</si>
  <si>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</si>
  <si>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</si>
  <si>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</si>
  <si>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</si>
  <si>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</si>
  <si>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</si>
  <si>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</si>
  <si>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</si>
  <si>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</si>
  <si>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</si>
  <si>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</si>
  <si>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</si>
  <si>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</si>
  <si>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</si>
  <si>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</si>
  <si>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</si>
  <si>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</si>
  <si>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</si>
  <si>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</si>
  <si>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</si>
  <si>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</si>
  <si>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</si>
  <si>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</si>
  <si>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</si>
  <si>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</si>
  <si>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</si>
  <si>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</si>
  <si>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</si>
  <si>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</si>
  <si>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</si>
  <si>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</si>
  <si>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</si>
  <si>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</si>
  <si>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</si>
  <si>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</si>
  <si>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</si>
  <si>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</si>
  <si>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</si>
  <si>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</si>
  <si>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</si>
  <si>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</si>
  <si>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</si>
  <si>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</si>
  <si>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</si>
  <si>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</si>
  <si>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</si>
  <si>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</si>
  <si>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</si>
  <si>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</si>
  <si>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</si>
  <si>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</si>
  <si>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</si>
  <si>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</si>
  <si>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</si>
  <si>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</si>
  <si>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</si>
  <si>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</si>
  <si>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</si>
  <si>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</si>
  <si>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</si>
  <si>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</si>
  <si>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Medņevas komunālā saimniecība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</si>
  <si>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</si>
  <si>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</si>
  <si>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</si>
  <si>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</si>
  <si>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</si>
  <si>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</si>
  <si>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</si>
  <si>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</si>
  <si>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</si>
  <si>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</si>
  <si>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</si>
  <si>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</si>
  <si>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</si>
  <si>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</si>
  <si>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</si>
  <si>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</si>
  <si>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</si>
  <si>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</si>
  <si>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</si>
  <si>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</si>
  <si>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</si>
  <si>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</si>
  <si>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</si>
  <si>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</si>
  <si>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</si>
  <si>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</si>
  <si>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</si>
  <si>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</si>
  <si>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</si>
  <si>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Skujetnieku FVP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</si>
  <si>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</si>
  <si>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</si>
  <si>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</si>
  <si>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</si>
  <si>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</si>
  <si>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</si>
  <si>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</si>
  <si>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</si>
  <si>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</si>
  <si>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</si>
  <si>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</si>
  <si>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</si>
  <si>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</si>
  <si>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</si>
  <si>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</si>
  <si>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</si>
  <si>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</si>
  <si>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</si>
  <si>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</si>
  <si>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</si>
  <si>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</si>
  <si>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</si>
  <si>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</si>
  <si>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</si>
  <si>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</si>
  <si>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</si>
  <si>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</si>
  <si>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</si>
  <si>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</si>
  <si>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</si>
  <si>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</si>
  <si>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</si>
  <si>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</si>
  <si>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</si>
  <si>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</si>
  <si>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</si>
  <si>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</si>
  <si>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</si>
  <si>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</si>
  <si>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</si>
  <si>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</si>
  <si>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</si>
  <si>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</si>
  <si>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</si>
  <si>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</si>
  <si>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</si>
  <si>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</si>
  <si>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</si>
  <si>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</si>
  <si>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</si>
  <si>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</si>
  <si>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</si>
  <si>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</si>
  <si>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</si>
  <si>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</si>
  <si>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</si>
  <si>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</si>
  <si>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</si>
  <si>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</si>
  <si>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</si>
  <si>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</si>
  <si>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</si>
  <si>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</si>
  <si>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</si>
  <si>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</si>
  <si>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</si>
  <si>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</si>
  <si>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</si>
  <si>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</si>
  <si>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</si>
  <si>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</si>
  <si>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</si>
  <si>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</si>
  <si>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</si>
  <si>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</si>
  <si>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</si>
  <si>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</si>
  <si>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</si>
  <si>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</si>
  <si>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</si>
  <si>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</si>
  <si>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Baltinavas pagasta teritorijas apsiamniekošana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</si>
  <si>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</si>
  <si>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</si>
  <si>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</si>
  <si>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</si>
  <si>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</si>
  <si>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</si>
  <si>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</si>
  <si>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</si>
  <si>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</si>
  <si>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</si>
  <si>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</si>
  <si>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</si>
  <si>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</si>
  <si>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</si>
  <si>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</si>
  <si>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</si>
  <si>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</si>
  <si>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</si>
  <si>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</si>
  <si>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</si>
  <si>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</si>
  <si>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</si>
  <si>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</si>
  <si>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</si>
  <si>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</si>
  <si>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</si>
  <si>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</si>
  <si>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</si>
  <si>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</si>
  <si>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</si>
  <si>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</si>
  <si>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</si>
  <si>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</si>
  <si>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</si>
  <si>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</si>
  <si>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</si>
  <si>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</si>
  <si>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ERAF projekts Balvu mākslas skolas ēkas energoefektivitātes paaugstināšana</t>
  </si>
  <si>
    <t>Vides pieejamības veicināšana Balvu novada Nodarbinātības valsts aģentūrā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</si>
  <si>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</si>
  <si>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</si>
  <si>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</si>
  <si>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</si>
  <si>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</si>
  <si>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</si>
  <si>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Viduču pamatskola Žīguros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</si>
  <si>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</si>
  <si>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</si>
  <si>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</si>
  <si>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</si>
  <si>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</si>
  <si>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</si>
  <si>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</si>
  <si>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</si>
  <si>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</si>
  <si>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</si>
  <si>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</si>
  <si>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</si>
  <si>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</si>
  <si>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</si>
  <si>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</si>
  <si>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</si>
  <si>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</si>
  <si>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</si>
  <si>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</si>
  <si>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</si>
  <si>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</si>
  <si>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</si>
  <si>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</si>
  <si>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</si>
  <si>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</si>
  <si>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</si>
  <si>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</si>
  <si>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</si>
  <si>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</si>
  <si>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</si>
  <si>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</si>
  <si>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</si>
  <si>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</si>
  <si>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</si>
  <si>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</si>
  <si>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</si>
  <si>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</si>
  <si>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</si>
  <si>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</si>
  <si>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</si>
  <si>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</si>
  <si>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</si>
  <si>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</si>
  <si>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</si>
  <si>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</si>
  <si>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</si>
  <si>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</si>
  <si>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</si>
  <si>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</si>
  <si>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</si>
  <si>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</si>
  <si>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</si>
  <si>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</si>
  <si>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</si>
  <si>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</si>
  <si>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</si>
  <si>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</si>
  <si>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</si>
  <si>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Bērzpils pamatskolas Krišjāņu pirmsskolas grupa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</si>
  <si>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</si>
  <si>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</si>
  <si>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</si>
  <si>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</si>
  <si>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</si>
  <si>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</si>
  <si>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</si>
  <si>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</si>
  <si>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</si>
  <si>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</si>
  <si>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</si>
  <si>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</si>
  <si>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</si>
  <si>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</si>
  <si>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</si>
  <si>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</si>
  <si>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</si>
  <si>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</si>
  <si>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</si>
  <si>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</si>
  <si>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</si>
  <si>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</si>
  <si>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</si>
  <si>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</si>
  <si>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</si>
  <si>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</si>
  <si>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</si>
  <si>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</si>
  <si>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</si>
  <si>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</si>
  <si>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</si>
  <si>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</si>
  <si>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</si>
  <si>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</si>
  <si>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</si>
  <si>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</si>
  <si>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</si>
  <si>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</si>
  <si>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</si>
  <si>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</si>
  <si>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</si>
  <si>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</si>
  <si>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</si>
  <si>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</si>
  <si>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</si>
  <si>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</si>
  <si>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</si>
  <si>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</si>
  <si>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</si>
  <si>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</si>
  <si>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</si>
  <si>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</si>
  <si>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</si>
  <si>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</si>
  <si>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</si>
  <si>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</si>
  <si>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</si>
  <si>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</si>
  <si>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</si>
  <si>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</si>
  <si>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</si>
  <si>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</si>
  <si>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</si>
  <si>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</si>
  <si>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</si>
  <si>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</si>
  <si>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</si>
  <si>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</si>
  <si>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</si>
  <si>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</si>
  <si>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</si>
  <si>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</si>
  <si>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</si>
  <si>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</si>
  <si>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</si>
  <si>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</si>
  <si>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</si>
  <si>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</si>
  <si>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</si>
  <si>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</si>
  <si>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</si>
  <si>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</si>
  <si>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</si>
  <si>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</si>
  <si>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</si>
  <si>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</si>
  <si>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</si>
  <si>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</si>
  <si>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</si>
  <si>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</si>
  <si>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</si>
  <si>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</si>
  <si>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</si>
  <si>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</si>
  <si>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</si>
  <si>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</si>
  <si>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</si>
  <si>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</si>
  <si>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</si>
  <si>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</si>
  <si>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</si>
  <si>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</si>
  <si>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</si>
  <si>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</si>
  <si>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</si>
  <si>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10.1.4.2.</t>
  </si>
  <si>
    <t>Naudas sodi, ko uzliek pašvaldības policija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</si>
  <si>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</si>
  <si>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</si>
  <si>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</si>
  <si>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</si>
  <si>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</si>
  <si>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</si>
  <si>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</si>
  <si>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</si>
  <si>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</si>
  <si>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</si>
  <si>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</si>
  <si>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</si>
  <si>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</si>
  <si>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</si>
  <si>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</si>
  <si>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</si>
  <si>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</si>
  <si>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</si>
  <si>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</si>
  <si>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</si>
  <si>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</si>
  <si>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</si>
  <si>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</si>
  <si>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</si>
  <si>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</si>
  <si>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</si>
  <si>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</si>
  <si>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</si>
  <si>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</si>
  <si>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</si>
  <si>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</si>
  <si>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</si>
  <si>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</si>
  <si>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</si>
  <si>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Mērķdotācijas pašvaldības izglītības iestāžu piecgadīgo un sešgadīgo bērnu apmācības pedagogu darba samaksai un valsts soc.apdroš.obligātajām iemaksām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</si>
  <si>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</si>
  <si>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</si>
  <si>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</si>
  <si>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</si>
  <si>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</si>
  <si>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</si>
  <si>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</si>
  <si>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</si>
  <si>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</si>
  <si>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</si>
  <si>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18.6.2.0.13</t>
  </si>
  <si>
    <t>MD māksliniecisko kolektīvu vadītāju darba samaksai un valsts sociālās apdrošināšanas obligātajām iemaksām</t>
  </si>
  <si>
    <t>Lazdukalna Saieta nams</t>
  </si>
  <si>
    <t>Briežuciema tautas nams</t>
  </si>
  <si>
    <t>Vīksnas tautas nams</t>
  </si>
  <si>
    <t>Viļakas Kultūras nams</t>
  </si>
  <si>
    <t>Medņevas tautas nams</t>
  </si>
  <si>
    <t>Vectilžas sporta un atpūtas centrs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</si>
  <si>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</si>
  <si>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</si>
  <si>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</si>
  <si>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</si>
  <si>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</si>
  <si>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</si>
  <si>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Briežuciema feldšeru punkts</t>
  </si>
  <si>
    <t>Krišjāņu feldšeru punkts</t>
  </si>
  <si>
    <t>Lazdulejas feldšeru punkts</t>
  </si>
  <si>
    <t>Vectilžas feldšeru punkts</t>
  </si>
  <si>
    <t>Vīksnas feldšeru punkts</t>
  </si>
  <si>
    <t>Kubulu feldšeru punkts</t>
  </si>
  <si>
    <t>Skujetnieku feldšeru punkts</t>
  </si>
  <si>
    <t>Upītes feldšeru punkts</t>
  </si>
  <si>
    <t>18.6.2.0.20</t>
  </si>
  <si>
    <t>LM finansējums asistenta pakalpojumiem personām ar invaliditāti</t>
  </si>
  <si>
    <t>18.6.2.0.30</t>
  </si>
  <si>
    <t>18.6.2.0.47</t>
  </si>
  <si>
    <t>18.6.2.0.54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</si>
  <si>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</si>
  <si>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</si>
  <si>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</si>
  <si>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18.6.3.0.04</t>
  </si>
  <si>
    <t>Atbalsts izglītojāmo individuālo kompetenču attīstībai</t>
  </si>
  <si>
    <t>18.6.3.0.05</t>
  </si>
  <si>
    <t>18.6.3.0.15</t>
  </si>
  <si>
    <t>Atbalsts priekšlaicīgas mācību pārtraukšanas samazināšanai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</si>
  <si>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</si>
  <si>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</si>
  <si>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</si>
  <si>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</si>
  <si>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</si>
  <si>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</si>
  <si>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</si>
  <si>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</si>
  <si>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</si>
  <si>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</si>
  <si>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</si>
  <si>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</si>
  <si>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Baltinavas Mūzikas un mākslas skola</t>
  </si>
  <si>
    <t>21.3.5.2.</t>
  </si>
  <si>
    <t>Ieņēmumi no vecāku maksām</t>
  </si>
  <si>
    <t>Medņevas PII "Pasaciņa"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</si>
  <si>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</si>
  <si>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</si>
  <si>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</si>
  <si>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</si>
  <si>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</si>
  <si>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</si>
  <si>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</si>
  <si>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</si>
  <si>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</si>
  <si>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</si>
  <si>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</si>
  <si>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</si>
  <si>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</si>
  <si>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</si>
  <si>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Viļakas pilsētas komunālā saimniecība-notekūdeņu apsaimniekošana</t>
  </si>
  <si>
    <t>Viļakas Mūzikas un mākslas skola</t>
  </si>
  <si>
    <t>21.3.8.4.</t>
  </si>
  <si>
    <t>Ieņēmumi par zemes nomu</t>
  </si>
  <si>
    <t>21.3.8.9.</t>
  </si>
  <si>
    <t>Pārējie ieņēmumi par nomu un īri</t>
  </si>
  <si>
    <t>Žīguru pārvaldes pašvaldības dzīvokļu uzturēšana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</si>
  <si>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</si>
  <si>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</si>
  <si>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</si>
  <si>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</si>
  <si>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</si>
  <si>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</si>
  <si>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</si>
  <si>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</si>
  <si>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</si>
  <si>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</si>
  <si>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</si>
  <si>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</si>
  <si>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</si>
  <si>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</si>
  <si>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</si>
  <si>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</si>
  <si>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</si>
  <si>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</si>
  <si>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</si>
  <si>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</si>
  <si>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</si>
  <si>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</si>
  <si>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</si>
  <si>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</si>
  <si>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</si>
  <si>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</si>
  <si>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</si>
  <si>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</si>
  <si>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</si>
  <si>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Balvu pagasta komunālā saimniecība-ūdens</t>
  </si>
  <si>
    <t>Baltinavas komunālā saimniecība-ūdens</t>
  </si>
  <si>
    <t>Bērzpils komunālā saimniecība-ūdens</t>
  </si>
  <si>
    <t>Krišjāņu pagasta komunālā saimniecība-ūdens</t>
  </si>
  <si>
    <t>Kubulu pagasta komunālā saimniecība-ūdens</t>
  </si>
  <si>
    <t>Kupravas pagasta komunālā saimniecība-ūdens</t>
  </si>
  <si>
    <t>Lazdukalna pagasts komunālā saimniecība-ūdens</t>
  </si>
  <si>
    <t>Rugāju pagasta komunālā saimniecība-ūdens</t>
  </si>
  <si>
    <t>Vecumu komunālā saimniecība-ūdens</t>
  </si>
  <si>
    <t>Žīguru pagasta komunālā saimniecība-ūdens</t>
  </si>
  <si>
    <t>Baltinavas pagasta komunālā saimniecība-notekūdeņu apsaimniekošana</t>
  </si>
  <si>
    <t>Bērzpils pagasta komunālā saimniecība-notekūdeņu apsaimniekošana</t>
  </si>
  <si>
    <t>Kubulu pagasta komunālā saimniecība-notekūdeņu apsaimniekošana</t>
  </si>
  <si>
    <t>Kupravas pagasta komunālā saimniecība-notekūdeņu apsaimniekošana</t>
  </si>
  <si>
    <t>Krišjāņu pagasta komunālā saimniecība-notekūdeņu apsaimniekošana</t>
  </si>
  <si>
    <t>Lazdukalna pagasta komunālā saimniecība-notekūdeņu apsaimniekošana</t>
  </si>
  <si>
    <t>Medņevas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</si>
  <si>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</si>
  <si>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</si>
  <si>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</si>
  <si>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</si>
  <si>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Rugāju pagasta komunālā saimniecība-notekūdeņu apsaimniekošana</t>
  </si>
  <si>
    <t>Žīguru pagasta komunālā saimniecība-notekūdeņu apsaimniekošana</t>
  </si>
  <si>
    <t>Viļakas pilsētas komunālā saimniecība-atkritumu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</si>
  <si>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</si>
  <si>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</si>
  <si>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</si>
  <si>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</si>
  <si>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</si>
  <si>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</si>
  <si>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</si>
  <si>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</si>
  <si>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</si>
  <si>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</si>
  <si>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</si>
  <si>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</si>
  <si>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</si>
  <si>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</si>
  <si>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</si>
  <si>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</si>
  <si>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</si>
  <si>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</si>
  <si>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</si>
  <si>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</si>
  <si>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</si>
  <si>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</si>
  <si>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</si>
  <si>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</si>
  <si>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</si>
  <si>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</si>
  <si>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</si>
  <si>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</si>
  <si>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</si>
  <si>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</si>
  <si>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</si>
  <si>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</si>
  <si>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</si>
  <si>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</si>
  <si>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</si>
  <si>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</si>
  <si>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</si>
  <si>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</si>
  <si>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</si>
  <si>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</si>
  <si>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</si>
  <si>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</si>
  <si>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</si>
  <si>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</si>
  <si>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</si>
  <si>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</si>
  <si>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</si>
  <si>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</si>
  <si>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</si>
  <si>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</si>
  <si>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</si>
  <si>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</si>
  <si>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</si>
  <si>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</si>
  <si>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</si>
  <si>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</si>
  <si>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</si>
  <si>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</si>
  <si>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</si>
  <si>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</si>
  <si>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</si>
  <si>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</si>
  <si>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</si>
  <si>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</si>
  <si>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</si>
  <si>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</si>
  <si>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</si>
  <si>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</si>
  <si>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</si>
  <si>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</si>
  <si>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</si>
  <si>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</si>
  <si>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</si>
  <si>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</si>
  <si>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</si>
  <si>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</si>
  <si>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</si>
  <si>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</si>
  <si>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</si>
  <si>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</si>
  <si>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</si>
  <si>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</si>
  <si>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</si>
  <si>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</si>
  <si>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</si>
  <si>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</si>
  <si>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</si>
  <si>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</si>
  <si>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</si>
  <si>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</si>
  <si>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</si>
  <si>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</si>
  <si>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</si>
  <si>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Ieņēmumi no kokmateriālu realizācijas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</si>
  <si>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</si>
  <si>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</si>
  <si>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</si>
  <si>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Lazdulējas Saieta nams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</si>
  <si>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</si>
  <si>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</si>
  <si>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</si>
  <si>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</si>
  <si>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</si>
  <si>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</si>
  <si>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</si>
  <si>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</si>
  <si>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</si>
  <si>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</si>
  <si>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</si>
  <si>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</si>
  <si>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</si>
  <si>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Tilžas pamatskolas Vectilžas pirmsskolas grupa</t>
  </si>
  <si>
    <t>Balvu sporta skola pilsētas stadiona maksas pakalpojumu ieņēmumi</t>
  </si>
  <si>
    <t>Rekavas vidusskola pirmsskolas grupas</t>
  </si>
  <si>
    <t>Viduču pamatskola Žīguros pirmsskolas grupas</t>
  </si>
  <si>
    <t>Balvu Profesionālā un vispārizglītojošā vidusskolas tālākizglītības centrs</t>
  </si>
  <si>
    <t>Bērzkalnes komunālā saimniecība-ūdens</t>
  </si>
  <si>
    <t>Briežuciema komunālā saimniecība-ūdens</t>
  </si>
  <si>
    <t>Lazdulejas pagasts komunālā saimniecība-ūdens</t>
  </si>
  <si>
    <t>Vectilžas komunālā saimniecība - ūdens</t>
  </si>
  <si>
    <t>Vīksnas pagasta komunālā saimniecība-ūdens</t>
  </si>
  <si>
    <t>Bērzkalnes pagasta komunālā saimniecība-notekūdeņu apsaimniekošana</t>
  </si>
  <si>
    <t>Briežuciema pagasta komunālā saimniecība-notekūdeņu apsaimniekošana</t>
  </si>
  <si>
    <t>Lazdulejas pagasta komunālā saimniecība-notekūdeņu apsaimniekošana</t>
  </si>
  <si>
    <t>Vīksnas komunālā saimniecība - notekūdeņu apsaimniekošana</t>
  </si>
  <si>
    <t>Balvu profesionālā un vispāizglītojošā vidusskolas tālākizglītības centrs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</si>
  <si>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</si>
  <si>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</si>
  <si>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</si>
  <si>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</si>
  <si>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</si>
  <si>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</si>
  <si>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</si>
  <si>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</si>
  <si>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</si>
  <si>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</si>
  <si>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Bērzkalnes komunālā saimniecība -notekūdeņu apsaimniekošana</t>
  </si>
  <si>
    <t>Tilžas pamatskolas Tilžas pirmsskolas grupas</t>
  </si>
  <si>
    <t>Tilžas pamatskolas Vectilžas pirmsskolas grupas</t>
  </si>
  <si>
    <t>Autoceļu (ielu) uzturēšanas līdzekļu rezerves fonds</t>
  </si>
  <si>
    <t>Balvu pilsētas stadiona rekonstrukcija</t>
  </si>
  <si>
    <t>Baltinavas pagasta teritorijas apsaimniekošana</t>
  </si>
  <si>
    <t>Izdevumi periodikas iegādei bibliotēku krājumiem</t>
  </si>
  <si>
    <t>Skolēnu pārvadāšana Susāju pārvalde</t>
  </si>
  <si>
    <t>Atalgojums</t>
  </si>
  <si>
    <t>DDVSAOI</t>
  </si>
  <si>
    <t>Viļakas vidusskola</t>
  </si>
  <si>
    <t>Balvu novada pašvaldības pamatbudžets 2024.gadam ( EUR)</t>
  </si>
  <si>
    <t>Apstiprināts 2024. gadam (EUR)</t>
  </si>
  <si>
    <t>Tehniskā aprīkojuma iegāde virssemes ūdeņu kvalitātes uzlabošanai</t>
  </si>
  <si>
    <t>Līdzfinansējums"Dabas lieguma Stompaku purvi" dabas aizsardzības plāna  aktualizēšana</t>
  </si>
  <si>
    <t>18.6.4.1.</t>
  </si>
  <si>
    <t>Papildus valsts dotācija pašvaldībām ar zemiem ienākumiem</t>
  </si>
  <si>
    <t>Balvu Profesionālā un vispārizglītojošā vidusskola Vidzemes iela 26</t>
  </si>
  <si>
    <t>Pašvaldības līdzdalības budžets</t>
  </si>
  <si>
    <t>Balvu pilsētas labiekārtošana</t>
  </si>
  <si>
    <t>Tehniskā aprīkojuma iegāde virszemes ūdeņu kvalitātes uzlabošanai</t>
  </si>
  <si>
    <t>Dotācija no līdzekļiem neparedzētiem gadījumiem atskurbtuves uzturēšanai</t>
  </si>
  <si>
    <t>Erasmus + projekts Play, Learn, Act, Ensure Sustainable Development Viļakas vidusskola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</si>
  <si>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</si>
  <si>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</si>
  <si>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</si>
  <si>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</si>
  <si>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</si>
  <si>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21.3.9.7</t>
  </si>
  <si>
    <t>Budžeta iestādes saņemtā atlīdzība no apdrošināšanas sabiedrības par bojātu nekustamo īpašumu un kustamo mantu</t>
  </si>
  <si>
    <t>Namateriālās kultūras mantojuma centrs "Upīte"</t>
  </si>
  <si>
    <t>Viļakas  vidusskolas pirmsskolas grupa</t>
  </si>
  <si>
    <t>8 Starptaustiskais mākslas plenērs "Valdis Bušs 2024"</t>
  </si>
  <si>
    <t>Kubulu ciema ielu pārbūve</t>
  </si>
  <si>
    <t>"Par Balvu novada pašvaldības 2024.gada budžetu"</t>
  </si>
  <si>
    <t>Balvu novada pašvaldības 2024.gada  pamatbudžeta izdevumi atbilstoši ekonomiskajām kategorijām (EUR)</t>
  </si>
  <si>
    <t>Apstiprināts 2024.gadam (EUR)</t>
  </si>
  <si>
    <t>Balvu novada pašvaldības pamatbudžeta izdevumi 2024.gadam (EUR)</t>
  </si>
  <si>
    <t>Balvu novada pašvaldības pamatbudžeta ieņēmumi 2024.gadam (EUR)</t>
  </si>
  <si>
    <t>18.6.2.0.27</t>
  </si>
  <si>
    <t>Algotie sabiedriskie darbi</t>
  </si>
  <si>
    <t xml:space="preserve">ERASMUS+ projekts Nr. 2023-1-LV02-KA154-YOU-000127946  "Uzdrīksties redzēt plašāk" Rugāju vidusskola </t>
  </si>
  <si>
    <t xml:space="preserve">Pansionāts "Balvi" </t>
  </si>
  <si>
    <t>Projekts ERASMUS+ 
Nr. 2023-1-LV01-KA121-SCH-000125225 Rugāju vidusskola</t>
  </si>
  <si>
    <t>Projekts ERASMUS+
Nr. 2023-1-LV01-KA121-SCH-000125225 Rugāju vidusskola</t>
  </si>
  <si>
    <t>ERASMUS+ projekts Rugāju vidusskola Nr. 2023-1-LV01-KA121-SCH-000125225</t>
  </si>
  <si>
    <t>Lazdukalna pagasta komunālā saimniecība-ūdens</t>
  </si>
  <si>
    <t xml:space="preserve">Tilžas pagasta komunālā saimniecība </t>
  </si>
  <si>
    <t xml:space="preserve">Baltinavas pagasta pārvalde </t>
  </si>
  <si>
    <t xml:space="preserve">Sporta pasākumi novadā </t>
  </si>
  <si>
    <t>Projekts "Militārais mantojums II"</t>
  </si>
  <si>
    <t>Projekts "Green Youth Emprower"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</si>
  <si>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</si>
  <si>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</si>
  <si>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</si>
  <si>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</si>
  <si>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</si>
  <si>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 xml:space="preserve">Baltinavas Mūzikas un mākslas skola </t>
  </si>
  <si>
    <t xml:space="preserve">Šķilbēnu pagasta teritorijas apsaimniekošana </t>
  </si>
  <si>
    <t>Rekavas  komunālā saimniecība bnotekūdeņi</t>
  </si>
  <si>
    <t xml:space="preserve">Viļakas Mūzikas un mākslas skola </t>
  </si>
  <si>
    <t xml:space="preserve">Daudzfunkcionālais sociālo pakalpojumu centrs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</si>
  <si>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</si>
  <si>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</si>
  <si>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</si>
  <si>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</si>
  <si>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</si>
  <si>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</si>
  <si>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</si>
  <si>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>Balvu Profesionālā un vispārizglītojošā vidusskolas tālākizglītības centrs  Brīvības 47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</si>
  <si>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</si>
  <si>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</si>
  <si>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</si>
  <si>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</si>
  <si>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</si>
  <si>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</si>
  <si>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</si>
  <si>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Kultūrvēsturiskā lauku sēta "Vēršukalns" 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</si>
  <si>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</si>
  <si>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</si>
  <si>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</si>
  <si>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</si>
  <si>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pilsētas labiekārtošana </t>
  </si>
  <si>
    <t xml:space="preserve">Balkanu Dabas parks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</si>
  <si>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</si>
  <si>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</si>
  <si>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</si>
  <si>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</si>
  <si>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</si>
  <si>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>Līdzfinansējums "Dabas lieguma Stompaku purvi" dabas aizsardzības plāna  aktualizēšana</t>
  </si>
  <si>
    <t xml:space="preserve">Projekts “Remigrācijas atbalsta pasākums – uzņēmējdarbības atbalsts” </t>
  </si>
  <si>
    <t>Vēlēšanu komisijas finansējums balsu skaitīšanai</t>
  </si>
  <si>
    <t>18.6.2.0.28</t>
  </si>
  <si>
    <t>Centrālā bibliotēka saņemtās valsts dotācijas</t>
  </si>
  <si>
    <t>Domes priekšsēdētājs                                                                        S.Maksimovs</t>
  </si>
  <si>
    <t>Domes priekšsēdētājs                                                                                                    S.Maksimovs</t>
  </si>
  <si>
    <t>Sociāli pakalpojumi</t>
  </si>
  <si>
    <t>21.0.0.0</t>
  </si>
  <si>
    <t>21.1.0.0</t>
  </si>
  <si>
    <t>Iestādes ieņēmumi no ārvalstu finanšu palīdzības</t>
  </si>
  <si>
    <t>21.1.9.0</t>
  </si>
  <si>
    <t>Ieņēmumi no citu Eiropas Savienības politiku instrumentu līdzfinansēto projektu un pasākumu īstenošanas un citu valstu finanšu palīdzības programmu īstenošanas, saņemtā ārvalstu finanšu palīdzība</t>
  </si>
  <si>
    <t>21.1.0.0.</t>
  </si>
  <si>
    <t>Latvijas neredzīgo biedrība</t>
  </si>
  <si>
    <t>Balvu novada domes</t>
  </si>
  <si>
    <t>2024.gada 25.janvāra saistošajiem noteikumiem Nr.1/2024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</si>
</sst>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i/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20022487640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8">
    <xf numFmtId="0" fontId="0" fillId="0" borderId="0" xfId="0"/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" fontId="7" fillId="0" borderId="0" xfId="0" applyNumberFormat="1" applyFont="1" applyAlignment="1">
      <alignment vertical="top"/>
    </xf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3" fontId="12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3" fontId="13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3" fontId="13" fillId="2" borderId="1" xfId="0" applyNumberFormat="1" applyFont="1" applyFill="1" applyBorder="1" applyAlignment="1">
      <alignment horizontal="center" wrapText="1"/>
    </xf>
    <xf numFmtId="49" fontId="13" fillId="0" borderId="2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/>
    <xf numFmtId="3" fontId="13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1" xfId="0" applyNumberFormat="1" applyFont="1" applyFill="1" applyBorder="1" applyAlignment="1">
      <alignment horizontal="center"/>
    </xf>
    <xf numFmtId="3" fontId="9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8" fillId="0" borderId="0" xfId="0" applyFont="1"/>
    <xf numFmtId="3" fontId="13" fillId="0" borderId="0" xfId="0" applyNumberFormat="1" applyFont="1"/>
    <xf numFmtId="3" fontId="9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0" fillId="0" borderId="1" xfId="0" applyBorder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right"/>
    </xf>
    <xf numFmtId="43" fontId="3" fillId="0" borderId="1" xfId="18" applyFont="1" applyFill="1" applyBorder="1" applyAlignment="1">
      <alignment horizontal="center" vertical="top"/>
    </xf>
    <xf numFmtId="0" fontId="5" fillId="0" borderId="0" xfId="0" applyFont="1" applyAlignment="1">
      <alignment wrapText="1"/>
    </xf>
    <xf numFmtId="3" fontId="5" fillId="0" borderId="1" xfId="0" applyNumberFormat="1" applyFont="1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9" fillId="0" borderId="0" xfId="0" applyFont="1"/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3" fontId="0" fillId="0" borderId="0" xfId="0" applyNumberFormat="1"/>
    <xf numFmtId="0" fontId="8" fillId="0" borderId="0" xfId="0" applyFont="1" applyAlignment="1">
      <alignment horizontal="right"/>
    </xf>
    <xf numFmtId="0" fontId="9" fillId="0" borderId="0" xfId="0" applyFont="1"/>
    <xf numFmtId="0" fontId="27" fillId="0" borderId="0" xfId="0" applyFont="1"/>
    <xf numFmtId="1" fontId="8" fillId="0" borderId="0" xfId="0" applyNumberFormat="1" applyFont="1"/>
    <xf numFmtId="0" fontId="9" fillId="0" borderId="1" xfId="0" applyFont="1" applyBorder="1" applyAlignment="1">
      <alignment horizontal="center"/>
    </xf>
    <xf numFmtId="0" fontId="32" fillId="0" borderId="0" xfId="0" applyFont="1"/>
    <xf numFmtId="3" fontId="8" fillId="0" borderId="0" xfId="0" applyNumberFormat="1" applyFont="1"/>
    <xf numFmtId="0" fontId="11" fillId="0" borderId="1" xfId="0" applyFont="1" applyBorder="1" applyAlignment="1">
      <alignment horizontal="center" vertical="top"/>
    </xf>
    <xf numFmtId="0" fontId="23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/>
    <xf numFmtId="3" fontId="11" fillId="0" borderId="1" xfId="0" applyNumberFormat="1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11" fillId="0" borderId="1" xfId="0" applyFont="1" applyBorder="1" applyAlignment="1">
      <alignment horizontal="left"/>
    </xf>
    <xf numFmtId="0" fontId="28" fillId="0" borderId="0" xfId="0" applyFont="1"/>
    <xf numFmtId="0" fontId="11" fillId="0" borderId="1" xfId="0" applyFont="1" applyBorder="1" applyAlignment="1">
      <alignment wrapText="1"/>
    </xf>
    <xf numFmtId="0" fontId="29" fillId="0" borderId="0" xfId="0" applyFont="1"/>
    <xf numFmtId="0" fontId="17" fillId="0" borderId="0" xfId="0" applyFont="1"/>
    <xf numFmtId="0" fontId="18" fillId="0" borderId="1" xfId="0" applyFont="1" applyBorder="1" applyAlignment="1">
      <alignment wrapText="1"/>
    </xf>
    <xf numFmtId="0" fontId="31" fillId="0" borderId="0" xfId="0" applyFont="1"/>
    <xf numFmtId="0" fontId="20" fillId="0" borderId="0" xfId="0" applyFont="1"/>
    <xf numFmtId="3" fontId="9" fillId="0" borderId="1" xfId="0" applyNumberFormat="1" applyFont="1" applyBorder="1" applyAlignment="1">
      <alignment horizontal="right"/>
    </xf>
    <xf numFmtId="0" fontId="18" fillId="0" borderId="1" xfId="0" applyFont="1" applyBorder="1"/>
    <xf numFmtId="3" fontId="18" fillId="0" borderId="1" xfId="0" applyNumberFormat="1" applyFont="1" applyBorder="1"/>
    <xf numFmtId="0" fontId="30" fillId="0" borderId="0" xfId="0" applyFont="1"/>
    <xf numFmtId="0" fontId="25" fillId="0" borderId="0" xfId="0" applyFont="1"/>
    <xf numFmtId="3" fontId="33" fillId="0" borderId="1" xfId="0" applyNumberFormat="1" applyFont="1" applyBorder="1"/>
    <xf numFmtId="3" fontId="33" fillId="0" borderId="1" xfId="0" applyNumberFormat="1" applyFont="1" applyBorder="1" applyAlignment="1">
      <alignment horizontal="right" wrapText="1"/>
    </xf>
    <xf numFmtId="0" fontId="9" fillId="3" borderId="1" xfId="0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/>
    <xf numFmtId="1" fontId="9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/>
    <xf numFmtId="3" fontId="33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3" fontId="11" fillId="2" borderId="1" xfId="0" applyNumberFormat="1" applyFont="1" applyFill="1" applyBorder="1"/>
    <xf numFmtId="49" fontId="11" fillId="0" borderId="1" xfId="0" applyNumberFormat="1" applyFont="1" applyBorder="1" applyAlignment="1">
      <alignment wrapText="1"/>
    </xf>
    <xf numFmtId="49" fontId="11" fillId="0" borderId="1" xfId="0" applyNumberFormat="1" applyFont="1" applyBorder="1"/>
    <xf numFmtId="3" fontId="9" fillId="2" borderId="1" xfId="0" applyNumberFormat="1" applyFont="1" applyFill="1" applyBorder="1"/>
    <xf numFmtId="0" fontId="23" fillId="2" borderId="0" xfId="0" applyFont="1" applyFill="1"/>
    <xf numFmtId="3" fontId="19" fillId="0" borderId="0" xfId="0" applyNumberFormat="1" applyFont="1"/>
    <xf numFmtId="0" fontId="28" fillId="2" borderId="0" xfId="0" applyFont="1" applyFill="1"/>
    <xf numFmtId="0" fontId="29" fillId="2" borderId="0" xfId="0" applyFont="1" applyFill="1"/>
    <xf numFmtId="0" fontId="35" fillId="2" borderId="0" xfId="0" applyFont="1" applyFill="1"/>
    <xf numFmtId="0" fontId="10" fillId="2" borderId="0" xfId="0" applyFont="1" applyFill="1"/>
    <xf numFmtId="0" fontId="11" fillId="0" borderId="0" xfId="0" applyFont="1" applyAlignment="1">
      <alignment horizont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8" fillId="0" borderId="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31" fillId="2" borderId="0" xfId="0" applyFont="1" applyFill="1"/>
    <xf numFmtId="3" fontId="18" fillId="2" borderId="1" xfId="0" applyNumberFormat="1" applyFont="1" applyFill="1" applyBorder="1"/>
    <xf numFmtId="0" fontId="34" fillId="2" borderId="1" xfId="0" applyFont="1" applyFill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8" fillId="2" borderId="0" xfId="0" applyFont="1" applyFill="1"/>
    <xf numFmtId="0" fontId="7" fillId="2" borderId="0" xfId="0" applyFont="1" applyFill="1" applyAlignment="1">
      <alignment vertical="top"/>
    </xf>
    <xf numFmtId="0" fontId="2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0" fontId="2" fillId="0" borderId="0" xfId="0" applyFont="1" applyAlignment="1">
      <alignment wrapText="1"/>
    </xf>
    <xf numFmtId="3" fontId="7" fillId="2" borderId="0" xfId="0" applyNumberFormat="1" applyFont="1" applyFill="1" applyAlignment="1">
      <alignment vertical="top"/>
    </xf>
    <xf numFmtId="0" fontId="36" fillId="0" borderId="1" xfId="0" applyFont="1" applyBorder="1" applyAlignment="1">
      <alignment horizontal="center" vertical="top" wrapText="1"/>
    </xf>
    <xf numFmtId="3" fontId="36" fillId="2" borderId="1" xfId="0" applyNumberFormat="1" applyFont="1" applyFill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 wrapText="1"/>
    </xf>
    <xf numFmtId="3" fontId="37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/>
    </xf>
    <xf numFmtId="0" fontId="36" fillId="0" borderId="1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36" fillId="2" borderId="3" xfId="0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0" fontId="36" fillId="0" borderId="3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3" borderId="3" xfId="0" applyNumberFormat="1" applyFont="1" applyFill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3" fontId="9" fillId="3" borderId="9" xfId="0" applyNumberFormat="1" applyFont="1" applyFill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3" fontId="9" fillId="3" borderId="1" xfId="0" applyNumberFormat="1" applyFont="1" applyFill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/>
    </xf>
    <xf numFmtId="3" fontId="1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3" fillId="0" borderId="1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 wrapText="1"/>
    </xf>
    <xf numFmtId="3" fontId="9" fillId="3" borderId="11" xfId="0" applyNumberFormat="1" applyFont="1" applyFill="1" applyBorder="1" applyAlignment="1">
      <alignment horizontal="center" wrapText="1"/>
    </xf>
    <xf numFmtId="3" fontId="9" fillId="0" borderId="11" xfId="0" applyNumberFormat="1" applyFont="1" applyBorder="1" applyAlignment="1">
      <alignment horizontal="center" wrapText="1"/>
    </xf>
    <xf numFmtId="0" fontId="36" fillId="2" borderId="12" xfId="0" applyFont="1" applyFill="1" applyBorder="1" applyAlignment="1">
      <alignment horizontal="center" vertical="center" wrapText="1"/>
    </xf>
    <xf numFmtId="3" fontId="36" fillId="2" borderId="7" xfId="0" applyNumberFormat="1" applyFont="1" applyFill="1" applyBorder="1" applyAlignment="1">
      <alignment horizontal="center" wrapText="1"/>
    </xf>
    <xf numFmtId="3" fontId="9" fillId="3" borderId="12" xfId="0" applyNumberFormat="1" applyFont="1" applyFill="1" applyBorder="1" applyAlignment="1">
      <alignment horizontal="center" wrapText="1"/>
    </xf>
    <xf numFmtId="3" fontId="9" fillId="0" borderId="12" xfId="0" applyNumberFormat="1" applyFont="1" applyBorder="1" applyAlignment="1">
      <alignment horizontal="center" wrapText="1"/>
    </xf>
    <xf numFmtId="0" fontId="3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8" Type="http://schemas.openxmlformats.org/officeDocument/2006/relationships/calcChain" Target="calcChain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5806A4E-B0C0-4470-A56D-779D8A617BF3}">
  <dimension ref="A1:L72"/>
  <sheetViews>
    <sheetView workbookViewId="0" topLeftCell="A1">
      <selection pane="topLeft" activeCell="C4" sqref="C4"/>
    </sheetView>
  </sheetViews>
  <sheetFormatPr defaultColWidth="9.144285714285713" defaultRowHeight="15.75"/>
  <cols>
    <col min="1" max="1" width="65.71428571428571" style="12" customWidth="1"/>
    <col min="2" max="3" width="13.857142857142858" style="12" customWidth="1"/>
    <col min="4" max="4" width="13.571428571428571" style="12" customWidth="1"/>
    <col min="5" max="16384" width="9.142857142857142" style="12"/>
  </cols>
  <sheetData>
    <row r="1" spans="6:9" ht="15.75">
      <c r="F1" s="13"/>
      <c r="G1" s="13"/>
      <c r="H1" s="13"/>
      <c r="I1" s="13"/>
    </row>
    <row r="2" spans="1:9" ht="15.75">
      <c r="A2" s="6"/>
      <c r="C2" s="7" t="s">
        <v>618</v>
      </c>
      <c r="F2" s="13"/>
      <c r="G2" s="13"/>
      <c r="H2" s="13"/>
      <c r="I2" s="13"/>
    </row>
    <row r="3" spans="1:9" ht="15.75">
      <c r="A3" s="6"/>
      <c r="C3" s="5" t="s">
        <v>838</v>
      </c>
      <c r="F3" s="13"/>
      <c r="G3" s="13"/>
      <c r="H3" s="13"/>
      <c r="I3" s="13"/>
    </row>
    <row r="4" spans="1:12" ht="15.75">
      <c r="A4" s="6"/>
      <c r="C4" s="5" t="s">
        <v>839</v>
      </c>
      <c r="E4" s="6"/>
      <c r="F4" s="13"/>
      <c r="G4" s="13"/>
      <c r="H4" s="13"/>
      <c r="I4" s="13"/>
      <c r="J4" s="6"/>
      <c r="K4" s="6"/>
      <c r="L4" s="6"/>
    </row>
    <row r="5" spans="1:9" ht="15.75">
      <c r="A5" s="6"/>
      <c r="B5" s="5"/>
      <c r="C5" s="5" t="s">
        <v>768</v>
      </c>
      <c r="E5" s="6"/>
      <c r="F5" s="13"/>
      <c r="G5" s="13"/>
      <c r="H5" s="13"/>
      <c r="I5" s="13"/>
    </row>
    <row r="6" s="13" customFormat="1" ht="14.25" customHeight="1"/>
    <row r="7" s="13" customFormat="1" ht="15" customHeight="1"/>
    <row r="8" spans="1:3" s="13" customFormat="1" ht="15" customHeight="1">
      <c r="A8" s="195" t="s">
        <v>745</v>
      </c>
      <c r="B8" s="195"/>
      <c r="C8" s="195"/>
    </row>
    <row r="9" spans="3:3" s="13" customFormat="1" ht="15" customHeight="1">
      <c r="C9" s="14"/>
    </row>
    <row r="10" spans="1:3" s="13" customFormat="1" ht="52.5" customHeight="1">
      <c r="A10" s="15" t="s">
        <v>619</v>
      </c>
      <c r="B10" s="15" t="s">
        <v>620</v>
      </c>
      <c r="C10" s="16" t="s">
        <v>746</v>
      </c>
    </row>
    <row r="11" spans="1:3" s="13" customFormat="1" ht="30" customHeight="1">
      <c r="A11" s="17" t="s">
        <v>621</v>
      </c>
      <c r="B11" s="18"/>
      <c r="C11" s="19">
        <f>C12+C14+C16+C20+C23+C25+C27+C30+C32+C34+C36+C18</f>
        <v>32300459</v>
      </c>
    </row>
    <row r="12" spans="1:3" s="20" customFormat="1" ht="15" customHeight="1">
      <c r="A12" s="18" t="s">
        <v>354</v>
      </c>
      <c r="B12" s="18" t="s">
        <v>353</v>
      </c>
      <c r="C12" s="19">
        <f>C13</f>
        <v>11192140</v>
      </c>
    </row>
    <row r="13" spans="1:3" s="13" customFormat="1" ht="15" customHeight="1">
      <c r="A13" s="21" t="s">
        <v>622</v>
      </c>
      <c r="B13" s="22" t="s">
        <v>623</v>
      </c>
      <c r="C13" s="23">
        <f>'2.pielikums'!F16</f>
        <v>11192140</v>
      </c>
    </row>
    <row r="14" spans="1:3" s="13" customFormat="1" ht="15" customHeight="1">
      <c r="A14" s="24" t="s">
        <v>359</v>
      </c>
      <c r="B14" s="24" t="s">
        <v>358</v>
      </c>
      <c r="C14" s="25">
        <f>C15</f>
        <v>1129985</v>
      </c>
    </row>
    <row r="15" spans="1:3" s="13" customFormat="1" ht="15" customHeight="1">
      <c r="A15" s="26" t="s">
        <v>624</v>
      </c>
      <c r="B15" s="27" t="s">
        <v>625</v>
      </c>
      <c r="C15" s="28">
        <f>'2.pielikums'!F19</f>
        <v>1129985</v>
      </c>
    </row>
    <row r="16" spans="1:3" s="13" customFormat="1" ht="15" customHeight="1">
      <c r="A16" s="24" t="s">
        <v>626</v>
      </c>
      <c r="B16" s="24" t="s">
        <v>381</v>
      </c>
      <c r="C16" s="25">
        <f>C17</f>
        <v>45000</v>
      </c>
    </row>
    <row r="17" spans="1:3" s="13" customFormat="1" ht="15" customHeight="1">
      <c r="A17" s="26" t="s">
        <v>627</v>
      </c>
      <c r="B17" s="27" t="s">
        <v>628</v>
      </c>
      <c r="C17" s="28">
        <f>'2.pielikums'!F30</f>
        <v>45000</v>
      </c>
    </row>
    <row r="18" spans="1:3" s="13" customFormat="1" ht="15" customHeight="1">
      <c r="A18" s="24" t="s">
        <v>629</v>
      </c>
      <c r="B18" s="24" t="s">
        <v>392</v>
      </c>
      <c r="C18" s="25">
        <f>C19</f>
        <v>5000</v>
      </c>
    </row>
    <row r="19" spans="1:3" s="13" customFormat="1" ht="30" customHeight="1">
      <c r="A19" s="26" t="s">
        <v>395</v>
      </c>
      <c r="B19" s="27" t="s">
        <v>394</v>
      </c>
      <c r="C19" s="28">
        <f>'2.pielikums'!F37</f>
        <v>5000</v>
      </c>
    </row>
    <row r="20" spans="1:3" s="13" customFormat="1" ht="15" customHeight="1">
      <c r="A20" s="24" t="s">
        <v>397</v>
      </c>
      <c r="B20" s="24" t="s">
        <v>396</v>
      </c>
      <c r="C20" s="25">
        <f>C21+C22</f>
        <v>18140</v>
      </c>
    </row>
    <row r="21" spans="1:3" s="13" customFormat="1" ht="15" customHeight="1">
      <c r="A21" s="26" t="s">
        <v>630</v>
      </c>
      <c r="B21" s="27" t="s">
        <v>631</v>
      </c>
      <c r="C21" s="28">
        <f>'2.pielikums'!F39</f>
        <v>11690</v>
      </c>
    </row>
    <row r="22" spans="1:3" s="13" customFormat="1" ht="15" customHeight="1">
      <c r="A22" s="26" t="s">
        <v>632</v>
      </c>
      <c r="B22" s="27" t="s">
        <v>633</v>
      </c>
      <c r="C22" s="28">
        <f>'2.pielikums'!F44</f>
        <v>6450</v>
      </c>
    </row>
    <row r="23" spans="1:3" s="13" customFormat="1" ht="15" customHeight="1">
      <c r="A23" s="24" t="s">
        <v>421</v>
      </c>
      <c r="B23" s="24" t="s">
        <v>420</v>
      </c>
      <c r="C23" s="25">
        <f>C24</f>
        <v>4000</v>
      </c>
    </row>
    <row r="24" spans="1:3" s="13" customFormat="1" ht="15" customHeight="1">
      <c r="A24" s="26" t="s">
        <v>634</v>
      </c>
      <c r="B24" s="27" t="s">
        <v>635</v>
      </c>
      <c r="C24" s="28">
        <f>'2.pielikums'!F50</f>
        <v>4000</v>
      </c>
    </row>
    <row r="25" spans="1:3" s="13" customFormat="1" ht="15" customHeight="1">
      <c r="A25" s="24" t="s">
        <v>431</v>
      </c>
      <c r="B25" s="24" t="s">
        <v>430</v>
      </c>
      <c r="C25" s="25">
        <f>C26</f>
        <v>63969</v>
      </c>
    </row>
    <row r="26" spans="1:3" s="13" customFormat="1" ht="15" customHeight="1">
      <c r="A26" s="29" t="s">
        <v>636</v>
      </c>
      <c r="B26" s="27" t="s">
        <v>637</v>
      </c>
      <c r="C26" s="28">
        <f>'2.pielikums'!F55</f>
        <v>63969</v>
      </c>
    </row>
    <row r="27" spans="1:3" s="13" customFormat="1" ht="30" customHeight="1">
      <c r="A27" s="24" t="s">
        <v>638</v>
      </c>
      <c r="B27" s="24" t="s">
        <v>438</v>
      </c>
      <c r="C27" s="25">
        <f>C28+C29</f>
        <v>520000</v>
      </c>
    </row>
    <row r="28" spans="1:3" s="13" customFormat="1" ht="15" customHeight="1">
      <c r="A28" s="26" t="s">
        <v>639</v>
      </c>
      <c r="B28" s="30" t="s">
        <v>640</v>
      </c>
      <c r="C28" s="28">
        <f>'2.pielikums'!F64</f>
        <v>20000</v>
      </c>
    </row>
    <row r="29" spans="1:3" s="13" customFormat="1" ht="15" customHeight="1">
      <c r="A29" s="26" t="s">
        <v>641</v>
      </c>
      <c r="B29" s="30" t="s">
        <v>642</v>
      </c>
      <c r="C29" s="28">
        <f>'2.pielikums'!F65</f>
        <v>500000</v>
      </c>
    </row>
    <row r="30" spans="1:3" s="13" customFormat="1" ht="30" customHeight="1">
      <c r="A30" s="24" t="s">
        <v>643</v>
      </c>
      <c r="B30" s="24" t="s">
        <v>448</v>
      </c>
      <c r="C30" s="25">
        <f>C31</f>
        <v>80900</v>
      </c>
    </row>
    <row r="31" spans="1:3" s="13" customFormat="1" ht="15" customHeight="1">
      <c r="A31" s="26" t="s">
        <v>644</v>
      </c>
      <c r="B31" s="27" t="s">
        <v>645</v>
      </c>
      <c r="C31" s="28">
        <f>'2.pielikums'!F68</f>
        <v>80900</v>
      </c>
    </row>
    <row r="32" spans="1:3" s="13" customFormat="1" ht="15" customHeight="1">
      <c r="A32" s="24" t="s">
        <v>646</v>
      </c>
      <c r="B32" s="24" t="s">
        <v>453</v>
      </c>
      <c r="C32" s="25">
        <f>C33</f>
        <v>13926515</v>
      </c>
    </row>
    <row r="33" spans="1:3" s="13" customFormat="1" ht="15" customHeight="1">
      <c r="A33" s="26" t="s">
        <v>647</v>
      </c>
      <c r="B33" s="27" t="s">
        <v>648</v>
      </c>
      <c r="C33" s="28">
        <f>'2.pielikums'!F71</f>
        <v>13926515</v>
      </c>
    </row>
    <row r="34" spans="1:3" s="13" customFormat="1" ht="15" customHeight="1">
      <c r="A34" s="24" t="s">
        <v>703</v>
      </c>
      <c r="B34" s="24" t="s">
        <v>704</v>
      </c>
      <c r="C34" s="25">
        <f>C35</f>
        <v>115000</v>
      </c>
    </row>
    <row r="35" spans="1:3" s="13" customFormat="1" ht="15" customHeight="1">
      <c r="A35" s="26" t="s">
        <v>705</v>
      </c>
      <c r="B35" s="27" t="s">
        <v>706</v>
      </c>
      <c r="C35" s="28">
        <f>'2.pielikums'!F131</f>
        <v>115000</v>
      </c>
    </row>
    <row r="36" spans="1:3" s="13" customFormat="1" ht="15" customHeight="1">
      <c r="A36" s="24" t="s">
        <v>649</v>
      </c>
      <c r="B36" s="24" t="s">
        <v>650</v>
      </c>
      <c r="C36" s="25">
        <f>SUM(C37:C39)</f>
        <v>5199810</v>
      </c>
    </row>
    <row r="37" spans="1:3" s="13" customFormat="1" ht="15" customHeight="1">
      <c r="A37" s="26" t="s">
        <v>833</v>
      </c>
      <c r="B37" s="27" t="s">
        <v>836</v>
      </c>
      <c r="C37" s="28">
        <f>'2.pielikums'!F134</f>
        <v>169672</v>
      </c>
    </row>
    <row r="38" spans="1:3" s="13" customFormat="1" ht="30" customHeight="1">
      <c r="A38" s="26" t="s">
        <v>651</v>
      </c>
      <c r="B38" s="27" t="s">
        <v>652</v>
      </c>
      <c r="C38" s="28">
        <f>'2.pielikums'!F136</f>
        <v>4955138</v>
      </c>
    </row>
    <row r="39" spans="1:3" s="13" customFormat="1" ht="30" customHeight="1">
      <c r="A39" s="26" t="s">
        <v>653</v>
      </c>
      <c r="B39" s="27" t="s">
        <v>654</v>
      </c>
      <c r="C39" s="28">
        <f>'2.pielikums'!F421</f>
        <v>75000</v>
      </c>
    </row>
    <row r="40" spans="1:3" s="13" customFormat="1" ht="30" customHeight="1">
      <c r="A40" s="31" t="s">
        <v>655</v>
      </c>
      <c r="B40" s="24" t="s">
        <v>656</v>
      </c>
      <c r="C40" s="32">
        <f>C41</f>
        <v>35113277.980000004</v>
      </c>
    </row>
    <row r="41" spans="1:4" s="13" customFormat="1" ht="30" customHeight="1">
      <c r="A41" s="33" t="s">
        <v>657</v>
      </c>
      <c r="B41" s="34"/>
      <c r="C41" s="32">
        <f>SUM(C42:C50)</f>
        <v>35113277.980000004</v>
      </c>
      <c r="D41" s="48"/>
    </row>
    <row r="42" spans="1:3" s="13" customFormat="1" ht="15" customHeight="1">
      <c r="A42" s="24" t="s">
        <v>273</v>
      </c>
      <c r="B42" s="24" t="s">
        <v>272</v>
      </c>
      <c r="C42" s="32">
        <f>'3.pielikums'!H12</f>
        <v>3733632</v>
      </c>
    </row>
    <row r="43" spans="1:3" s="13" customFormat="1" ht="15" customHeight="1">
      <c r="A43" s="24" t="s">
        <v>276</v>
      </c>
      <c r="B43" s="24" t="s">
        <v>275</v>
      </c>
      <c r="C43" s="32">
        <f>'3.pielikums'!H44</f>
        <v>322694</v>
      </c>
    </row>
    <row r="44" spans="1:3" s="13" customFormat="1" ht="15" customHeight="1">
      <c r="A44" s="24" t="s">
        <v>278</v>
      </c>
      <c r="B44" s="24" t="s">
        <v>277</v>
      </c>
      <c r="C44" s="32">
        <f>'3.pielikums'!H48</f>
        <v>2178501</v>
      </c>
    </row>
    <row r="45" spans="1:3" s="13" customFormat="1" ht="15" customHeight="1">
      <c r="A45" s="24" t="s">
        <v>283</v>
      </c>
      <c r="B45" s="24" t="s">
        <v>282</v>
      </c>
      <c r="C45" s="32">
        <f>'3.pielikums'!H81</f>
        <v>192262</v>
      </c>
    </row>
    <row r="46" spans="1:3" s="13" customFormat="1" ht="15" customHeight="1">
      <c r="A46" s="24" t="s">
        <v>658</v>
      </c>
      <c r="B46" s="24" t="s">
        <v>284</v>
      </c>
      <c r="C46" s="32">
        <f>'3.pielikums'!H104</f>
        <v>5113984</v>
      </c>
    </row>
    <row r="47" spans="1:3" s="13" customFormat="1" ht="15" customHeight="1">
      <c r="A47" s="24" t="s">
        <v>291</v>
      </c>
      <c r="B47" s="24" t="s">
        <v>290</v>
      </c>
      <c r="C47" s="32">
        <f>'3.pielikums'!H173</f>
        <v>150076</v>
      </c>
    </row>
    <row r="48" spans="1:3" s="13" customFormat="1" ht="15" customHeight="1">
      <c r="A48" s="24" t="s">
        <v>659</v>
      </c>
      <c r="B48" s="24" t="s">
        <v>301</v>
      </c>
      <c r="C48" s="32">
        <f>'3.pielikums'!H184</f>
        <v>2700590</v>
      </c>
    </row>
    <row r="49" spans="1:3" s="13" customFormat="1" ht="15" customHeight="1">
      <c r="A49" s="24" t="s">
        <v>315</v>
      </c>
      <c r="B49" s="24" t="s">
        <v>314</v>
      </c>
      <c r="C49" s="32">
        <f>'3.pielikums'!H230</f>
        <v>14618468.98</v>
      </c>
    </row>
    <row r="50" spans="1:3" s="13" customFormat="1" ht="15" customHeight="1">
      <c r="A50" s="24" t="s">
        <v>329</v>
      </c>
      <c r="B50" s="24" t="s">
        <v>328</v>
      </c>
      <c r="C50" s="32">
        <f>'3.pielikums'!H294</f>
        <v>6103070</v>
      </c>
    </row>
    <row r="51" spans="1:3" s="13" customFormat="1" ht="30" customHeight="1">
      <c r="A51" s="33" t="s">
        <v>660</v>
      </c>
      <c r="B51" s="34"/>
      <c r="C51" s="25">
        <f>C52+C53+C54+C55+C56+C57+C58</f>
        <v>35113277.980000004</v>
      </c>
    </row>
    <row r="52" spans="1:3" s="13" customFormat="1" ht="15" customHeight="1">
      <c r="A52" s="24" t="s">
        <v>661</v>
      </c>
      <c r="B52" s="24" t="s">
        <v>662</v>
      </c>
      <c r="C52" s="25">
        <f>'4.pielikums'!C293</f>
        <v>21794388.98</v>
      </c>
    </row>
    <row r="53" spans="1:3" s="13" customFormat="1" ht="15" customHeight="1">
      <c r="A53" s="24" t="s">
        <v>88</v>
      </c>
      <c r="B53" s="24" t="s">
        <v>663</v>
      </c>
      <c r="C53" s="25">
        <f>'4.pielikums'!F293</f>
        <v>8574490</v>
      </c>
    </row>
    <row r="54" spans="1:3" s="13" customFormat="1" ht="15" customHeight="1">
      <c r="A54" s="24" t="s">
        <v>89</v>
      </c>
      <c r="B54" s="24" t="s">
        <v>664</v>
      </c>
      <c r="C54" s="25">
        <f>'4.pielikums'!M293</f>
        <v>77201</v>
      </c>
    </row>
    <row r="55" spans="1:3" s="13" customFormat="1" ht="15" customHeight="1">
      <c r="A55" s="24" t="s">
        <v>665</v>
      </c>
      <c r="B55" s="24" t="s">
        <v>666</v>
      </c>
      <c r="C55" s="25">
        <f>'4.pielikums'!N293</f>
        <v>860221</v>
      </c>
    </row>
    <row r="56" spans="1:3" s="13" customFormat="1" ht="15" customHeight="1">
      <c r="A56" s="24" t="s">
        <v>91</v>
      </c>
      <c r="B56" s="24" t="s">
        <v>667</v>
      </c>
      <c r="C56" s="25">
        <f>'4.pielikums'!O293</f>
        <v>2048350</v>
      </c>
    </row>
    <row r="57" spans="1:3" s="13" customFormat="1" ht="15" customHeight="1">
      <c r="A57" s="24" t="s">
        <v>240</v>
      </c>
      <c r="B57" s="24" t="s">
        <v>668</v>
      </c>
      <c r="C57" s="25">
        <f>'4.pielikums'!P293</f>
        <v>1605751</v>
      </c>
    </row>
    <row r="58" spans="1:3" s="13" customFormat="1" ht="30" customHeight="1">
      <c r="A58" s="24" t="s">
        <v>669</v>
      </c>
      <c r="B58" s="24" t="s">
        <v>670</v>
      </c>
      <c r="C58" s="25">
        <f>'4.pielikums'!Q293</f>
        <v>152876</v>
      </c>
    </row>
    <row r="59" spans="1:3" s="13" customFormat="1" ht="30" customHeight="1">
      <c r="A59" s="35"/>
      <c r="B59" s="35"/>
      <c r="C59" s="36"/>
    </row>
    <row r="60" spans="1:4" s="13" customFormat="1" ht="15" customHeight="1">
      <c r="A60" s="31" t="s">
        <v>671</v>
      </c>
      <c r="B60" s="24" t="s">
        <v>656</v>
      </c>
      <c r="C60" s="25">
        <f>C11-C40</f>
        <v>-2812818.9800000042</v>
      </c>
      <c r="D60" s="48">
        <f>C60+C61</f>
        <v>0.019999995827674866</v>
      </c>
    </row>
    <row r="61" spans="1:3" s="13" customFormat="1" ht="30" customHeight="1">
      <c r="A61" s="31" t="s">
        <v>672</v>
      </c>
      <c r="B61" s="24" t="s">
        <v>656</v>
      </c>
      <c r="C61" s="32">
        <f>C62+C67</f>
        <v>2812819</v>
      </c>
    </row>
    <row r="62" spans="1:3" s="37" customFormat="1" ht="15" customHeight="1">
      <c r="A62" s="24" t="s">
        <v>673</v>
      </c>
      <c r="B62" s="24" t="s">
        <v>674</v>
      </c>
      <c r="C62" s="32">
        <f>C63+C64</f>
        <v>783359</v>
      </c>
    </row>
    <row r="63" spans="1:3" s="38" customFormat="1" ht="15" customHeight="1">
      <c r="A63" s="24" t="s">
        <v>675</v>
      </c>
      <c r="B63" s="24" t="s">
        <v>676</v>
      </c>
      <c r="C63" s="32">
        <v>8824</v>
      </c>
    </row>
    <row r="64" spans="1:3" s="39" customFormat="1" ht="15" customHeight="1">
      <c r="A64" s="24" t="s">
        <v>677</v>
      </c>
      <c r="B64" s="24" t="s">
        <v>678</v>
      </c>
      <c r="C64" s="32">
        <f>C65-C66</f>
        <v>774535</v>
      </c>
    </row>
    <row r="65" spans="1:3" s="13" customFormat="1" ht="15" customHeight="1">
      <c r="A65" s="24" t="s">
        <v>679</v>
      </c>
      <c r="B65" s="24" t="s">
        <v>680</v>
      </c>
      <c r="C65" s="32">
        <v>1398918</v>
      </c>
    </row>
    <row r="66" spans="1:4" s="13" customFormat="1" ht="30" customHeight="1">
      <c r="A66" s="24" t="s">
        <v>681</v>
      </c>
      <c r="B66" s="24" t="s">
        <v>682</v>
      </c>
      <c r="C66" s="32">
        <f>494216+130167</f>
        <v>624383</v>
      </c>
      <c r="D66" s="61"/>
    </row>
    <row r="67" spans="1:3" s="13" customFormat="1" ht="15" customHeight="1">
      <c r="A67" s="24" t="s">
        <v>271</v>
      </c>
      <c r="B67" s="24" t="s">
        <v>683</v>
      </c>
      <c r="C67" s="32">
        <f>C68-C69</f>
        <v>2029460</v>
      </c>
    </row>
    <row r="68" spans="1:3" s="13" customFormat="1" ht="15" customHeight="1">
      <c r="A68" s="24" t="s">
        <v>684</v>
      </c>
      <c r="B68" s="24" t="s">
        <v>688</v>
      </c>
      <c r="C68" s="32">
        <f>'3.pielikums'!G11+2405697</f>
        <v>3477399</v>
      </c>
    </row>
    <row r="69" spans="1:3" s="13" customFormat="1" ht="15" customHeight="1">
      <c r="A69" s="24" t="s">
        <v>685</v>
      </c>
      <c r="B69" s="24" t="s">
        <v>686</v>
      </c>
      <c r="C69" s="40">
        <f>1842560-394621</f>
        <v>1447939</v>
      </c>
    </row>
    <row r="72" spans="1:1" ht="18.75">
      <c r="A72" s="72" t="s">
        <v>828</v>
      </c>
    </row>
  </sheetData>
  <mergeCells count="1">
    <mergeCell ref="A8:C8"/>
  </mergeCells>
  <pageMargins left="0.7" right="0.7" top="0.75" bottom="0.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9F3A393-8226-4FC6-B4EA-45EA629CBDD9}">
  <dimension ref="A2:I428"/>
  <sheetViews>
    <sheetView workbookViewId="0" topLeftCell="A1">
      <selection pane="topLeft" activeCell="F4" sqref="F4"/>
    </sheetView>
  </sheetViews>
  <sheetFormatPr defaultColWidth="9.144285714285713" defaultRowHeight="15.75"/>
  <cols>
    <col min="1" max="1" width="16.142857142857142" style="66" customWidth="1"/>
    <col min="2" max="2" width="47.142857142857146" style="66" customWidth="1"/>
    <col min="3" max="6" width="15.714285714285714" style="66" customWidth="1"/>
    <col min="7" max="7" width="9.142857142857142" style="78"/>
    <col min="8" max="8" width="9.142857142857142" style="66"/>
    <col min="9" max="9" width="9.857142857142858" style="66" bestFit="1" customWidth="1"/>
    <col min="10" max="16384" width="9.142857142857142" style="66"/>
  </cols>
  <sheetData>
    <row r="1" ht="15" customHeight="1"/>
    <row r="2" spans="1:6" ht="15" customHeight="1">
      <c r="A2" s="79"/>
      <c r="B2" s="80"/>
      <c r="C2" s="81"/>
      <c r="D2" s="81"/>
      <c r="E2" s="81"/>
      <c r="F2" s="67" t="s">
        <v>343</v>
      </c>
    </row>
    <row r="3" spans="1:6" ht="15" customHeight="1">
      <c r="A3" s="79"/>
      <c r="B3" s="80"/>
      <c r="C3" s="81"/>
      <c r="D3" s="81"/>
      <c r="E3" s="81"/>
      <c r="F3" s="68" t="s">
        <v>838</v>
      </c>
    </row>
    <row r="4" spans="1:8" ht="15" customHeight="1">
      <c r="A4" s="79"/>
      <c r="D4" s="68"/>
      <c r="E4" s="68"/>
      <c r="F4" s="68" t="s">
        <v>839</v>
      </c>
      <c r="G4" s="71"/>
      <c r="H4" s="47"/>
    </row>
    <row r="5" spans="1:6" ht="15" customHeight="1">
      <c r="A5" s="79"/>
      <c r="B5" s="82"/>
      <c r="D5" s="68"/>
      <c r="E5" s="68"/>
      <c r="F5" s="68" t="s">
        <v>768</v>
      </c>
    </row>
    <row r="6" spans="1:6" ht="15" customHeight="1">
      <c r="A6" s="79"/>
      <c r="B6" s="82"/>
      <c r="C6" s="80"/>
      <c r="D6" s="80"/>
      <c r="E6" s="80"/>
      <c r="F6" s="80"/>
    </row>
    <row r="7" spans="1:6" ht="15" customHeight="1">
      <c r="A7" s="79"/>
      <c r="B7" s="82"/>
      <c r="C7" s="80"/>
      <c r="D7" s="80"/>
      <c r="E7" s="80"/>
      <c r="F7" s="80"/>
    </row>
    <row r="8" spans="1:6" ht="15" customHeight="1">
      <c r="A8" s="79"/>
      <c r="B8" s="83"/>
      <c r="C8" s="80"/>
      <c r="D8" s="80"/>
      <c r="E8" s="80"/>
      <c r="F8" s="80"/>
    </row>
    <row r="9" spans="1:6" ht="15" customHeight="1">
      <c r="A9" s="196" t="s">
        <v>772</v>
      </c>
      <c r="B9" s="196"/>
      <c r="C9" s="196"/>
      <c r="D9" s="196"/>
      <c r="E9" s="196"/>
      <c r="F9" s="196"/>
    </row>
    <row r="10" spans="1:6" ht="15" customHeight="1">
      <c r="A10" s="79"/>
      <c r="B10" s="79"/>
      <c r="C10" s="80"/>
      <c r="D10" s="80"/>
      <c r="E10" s="80"/>
      <c r="F10" s="80"/>
    </row>
    <row r="11" spans="1:6" ht="15" customHeight="1">
      <c r="A11" s="197" t="s">
        <v>264</v>
      </c>
      <c r="B11" s="198" t="s">
        <v>344</v>
      </c>
      <c r="C11" s="199" t="s">
        <v>345</v>
      </c>
      <c r="D11" s="199"/>
      <c r="E11" s="199"/>
      <c r="F11" s="198" t="s">
        <v>346</v>
      </c>
    </row>
    <row r="12" spans="1:6" ht="45" customHeight="1">
      <c r="A12" s="197"/>
      <c r="B12" s="198"/>
      <c r="C12" s="84" t="s">
        <v>347</v>
      </c>
      <c r="D12" s="84" t="s">
        <v>348</v>
      </c>
      <c r="E12" s="84" t="s">
        <v>349</v>
      </c>
      <c r="F12" s="198"/>
    </row>
    <row r="13" spans="1:6" ht="15" customHeight="1">
      <c r="A13" s="1" t="s">
        <v>350</v>
      </c>
      <c r="B13" s="85" t="s">
        <v>351</v>
      </c>
      <c r="C13" s="86">
        <f>C15+C18+C30+C38+C50+C63+C55+C36</f>
        <v>12978234</v>
      </c>
      <c r="D13" s="86">
        <f>D131+D136+D421</f>
        <v>5145138</v>
      </c>
      <c r="E13" s="86">
        <f>E71+E68</f>
        <v>14007415</v>
      </c>
      <c r="F13" s="86">
        <f>F15+F18+F30+F36+F38+F50+F55+F63+F68+F71+F131+F133</f>
        <v>32300459</v>
      </c>
    </row>
    <row r="14" spans="1:7" ht="15" customHeight="1">
      <c r="A14" s="85">
        <v>1</v>
      </c>
      <c r="B14" s="85" t="s">
        <v>352</v>
      </c>
      <c r="C14" s="86">
        <f>C15+C18+C30</f>
        <v>12367125</v>
      </c>
      <c r="D14" s="41"/>
      <c r="E14" s="41"/>
      <c r="F14" s="115">
        <f>C14</f>
        <v>12367125</v>
      </c>
      <c r="G14" s="119"/>
    </row>
    <row r="15" spans="1:9" ht="15" customHeight="1">
      <c r="A15" s="85" t="s">
        <v>353</v>
      </c>
      <c r="B15" s="85" t="s">
        <v>354</v>
      </c>
      <c r="C15" s="115">
        <f>C16</f>
        <v>11192140</v>
      </c>
      <c r="D15" s="41"/>
      <c r="E15" s="41"/>
      <c r="F15" s="115">
        <f t="shared" si="0" ref="F15:F23">=C15</f>
        <v>11192140</v>
      </c>
      <c r="G15" s="119"/>
      <c r="I15" s="120"/>
    </row>
    <row r="16" spans="1:7" ht="15" customHeight="1">
      <c r="A16" s="85" t="s">
        <v>355</v>
      </c>
      <c r="B16" s="85" t="s">
        <v>356</v>
      </c>
      <c r="C16" s="86">
        <f>C17</f>
        <v>11192140</v>
      </c>
      <c r="D16" s="41"/>
      <c r="E16" s="41"/>
      <c r="F16" s="115">
        <f t="shared" si="0"/>
        <v>11192140</v>
      </c>
      <c r="G16" s="119"/>
    </row>
    <row r="17" spans="1:7" ht="15" customHeight="1">
      <c r="A17" s="87" t="s">
        <v>357</v>
      </c>
      <c r="B17" s="88" t="s">
        <v>356</v>
      </c>
      <c r="C17" s="41">
        <v>11192140</v>
      </c>
      <c r="D17" s="41"/>
      <c r="E17" s="41"/>
      <c r="F17" s="118">
        <f t="shared" si="0"/>
        <v>11192140</v>
      </c>
      <c r="G17" s="119"/>
    </row>
    <row r="18" spans="1:7" ht="15" customHeight="1">
      <c r="A18" s="89" t="s">
        <v>358</v>
      </c>
      <c r="B18" s="85" t="s">
        <v>359</v>
      </c>
      <c r="C18" s="115">
        <f>C19</f>
        <v>1129985</v>
      </c>
      <c r="D18" s="41"/>
      <c r="E18" s="41"/>
      <c r="F18" s="115">
        <f t="shared" si="0"/>
        <v>1129985</v>
      </c>
      <c r="G18" s="119"/>
    </row>
    <row r="19" spans="1:7" ht="15" customHeight="1">
      <c r="A19" s="85" t="s">
        <v>360</v>
      </c>
      <c r="B19" s="85" t="s">
        <v>361</v>
      </c>
      <c r="C19" s="86">
        <f>C20+C23+C27</f>
        <v>1129985</v>
      </c>
      <c r="D19" s="41"/>
      <c r="E19" s="41"/>
      <c r="F19" s="115">
        <f t="shared" si="0"/>
        <v>1129985</v>
      </c>
      <c r="G19" s="121"/>
    </row>
    <row r="20" spans="1:7" ht="15" customHeight="1">
      <c r="A20" s="85" t="s">
        <v>362</v>
      </c>
      <c r="B20" s="85" t="s">
        <v>363</v>
      </c>
      <c r="C20" s="86">
        <f>C21+C22</f>
        <v>981415</v>
      </c>
      <c r="D20" s="41"/>
      <c r="E20" s="41"/>
      <c r="F20" s="115">
        <f t="shared" si="0"/>
        <v>981415</v>
      </c>
      <c r="G20" s="119"/>
    </row>
    <row r="21" spans="1:7" ht="30" customHeight="1">
      <c r="A21" s="88" t="s">
        <v>364</v>
      </c>
      <c r="B21" s="64" t="s">
        <v>365</v>
      </c>
      <c r="C21" s="41">
        <v>882815</v>
      </c>
      <c r="D21" s="41"/>
      <c r="E21" s="41"/>
      <c r="F21" s="118">
        <f t="shared" si="0"/>
        <v>882815</v>
      </c>
      <c r="G21" s="119"/>
    </row>
    <row r="22" spans="1:7" ht="30" customHeight="1">
      <c r="A22" s="88" t="s">
        <v>366</v>
      </c>
      <c r="B22" s="64" t="s">
        <v>367</v>
      </c>
      <c r="C22" s="41">
        <v>98600</v>
      </c>
      <c r="D22" s="41"/>
      <c r="E22" s="41"/>
      <c r="F22" s="118">
        <f t="shared" si="0"/>
        <v>98600</v>
      </c>
      <c r="G22" s="119"/>
    </row>
    <row r="23" spans="1:7" ht="15" customHeight="1">
      <c r="A23" s="85" t="s">
        <v>368</v>
      </c>
      <c r="B23" s="85" t="s">
        <v>369</v>
      </c>
      <c r="C23" s="86">
        <f>C24+C26</f>
        <v>90570</v>
      </c>
      <c r="D23" s="41"/>
      <c r="E23" s="41"/>
      <c r="F23" s="115">
        <f t="shared" si="0"/>
        <v>90570</v>
      </c>
      <c r="G23" s="119"/>
    </row>
    <row r="24" spans="1:7" ht="30" customHeight="1">
      <c r="A24" s="88" t="s">
        <v>370</v>
      </c>
      <c r="B24" s="64" t="s">
        <v>371</v>
      </c>
      <c r="C24" s="41">
        <v>82570</v>
      </c>
      <c r="D24" s="41"/>
      <c r="E24" s="41"/>
      <c r="F24" s="118">
        <f t="shared" si="1" ref="F24:F25">=C24</f>
        <v>82570</v>
      </c>
      <c r="G24" s="119"/>
    </row>
    <row r="25" spans="1:7" ht="15" customHeight="1">
      <c r="A25" s="88"/>
      <c r="B25" s="64" t="s">
        <v>372</v>
      </c>
      <c r="C25" s="41">
        <v>4718</v>
      </c>
      <c r="D25" s="41"/>
      <c r="E25" s="41"/>
      <c r="F25" s="118">
        <f t="shared" si="1"/>
        <v>4718</v>
      </c>
      <c r="G25" s="119"/>
    </row>
    <row r="26" spans="1:7" ht="30" customHeight="1">
      <c r="A26" s="88" t="s">
        <v>373</v>
      </c>
      <c r="B26" s="64" t="s">
        <v>374</v>
      </c>
      <c r="C26" s="41">
        <v>8000</v>
      </c>
      <c r="D26" s="41"/>
      <c r="E26" s="41"/>
      <c r="F26" s="118">
        <f>C26</f>
        <v>8000</v>
      </c>
      <c r="G26" s="119"/>
    </row>
    <row r="27" spans="1:7" ht="15" customHeight="1">
      <c r="A27" s="85" t="s">
        <v>375</v>
      </c>
      <c r="B27" s="91" t="s">
        <v>376</v>
      </c>
      <c r="C27" s="86">
        <f>C28+C29</f>
        <v>58000</v>
      </c>
      <c r="D27" s="41"/>
      <c r="E27" s="41"/>
      <c r="F27" s="115">
        <f>C27</f>
        <v>58000</v>
      </c>
      <c r="G27" s="119"/>
    </row>
    <row r="28" spans="1:7" ht="30" customHeight="1">
      <c r="A28" s="88" t="s">
        <v>377</v>
      </c>
      <c r="B28" s="64" t="s">
        <v>378</v>
      </c>
      <c r="C28" s="41">
        <v>48000</v>
      </c>
      <c r="D28" s="41"/>
      <c r="E28" s="41"/>
      <c r="F28" s="118">
        <f>C28</f>
        <v>48000</v>
      </c>
      <c r="G28" s="119"/>
    </row>
    <row r="29" spans="1:7" ht="30" customHeight="1">
      <c r="A29" s="88" t="s">
        <v>379</v>
      </c>
      <c r="B29" s="64" t="s">
        <v>380</v>
      </c>
      <c r="C29" s="41">
        <v>10000</v>
      </c>
      <c r="D29" s="41"/>
      <c r="E29" s="41"/>
      <c r="F29" s="118">
        <f>C29</f>
        <v>10000</v>
      </c>
      <c r="G29" s="119"/>
    </row>
    <row r="30" spans="1:7" ht="30" customHeight="1">
      <c r="A30" s="85" t="s">
        <v>381</v>
      </c>
      <c r="B30" s="91" t="s">
        <v>382</v>
      </c>
      <c r="C30" s="115">
        <f>C31+C33</f>
        <v>45000</v>
      </c>
      <c r="D30" s="41"/>
      <c r="E30" s="41"/>
      <c r="F30" s="115">
        <f>C30</f>
        <v>45000</v>
      </c>
      <c r="G30" s="119"/>
    </row>
    <row r="31" spans="1:7" ht="30" customHeight="1">
      <c r="A31" s="85" t="s">
        <v>383</v>
      </c>
      <c r="B31" s="91" t="s">
        <v>384</v>
      </c>
      <c r="C31" s="86">
        <f>C32</f>
        <v>7000</v>
      </c>
      <c r="D31" s="41"/>
      <c r="E31" s="41"/>
      <c r="F31" s="115">
        <f>F32</f>
        <v>7000</v>
      </c>
      <c r="G31" s="119"/>
    </row>
    <row r="32" spans="1:7" ht="15" customHeight="1">
      <c r="A32" s="88" t="s">
        <v>385</v>
      </c>
      <c r="B32" s="88" t="s">
        <v>386</v>
      </c>
      <c r="C32" s="41">
        <v>7000</v>
      </c>
      <c r="D32" s="41"/>
      <c r="E32" s="41"/>
      <c r="F32" s="41">
        <f>C32</f>
        <v>7000</v>
      </c>
      <c r="G32" s="119"/>
    </row>
    <row r="33" spans="1:7" ht="30" customHeight="1">
      <c r="A33" s="85" t="s">
        <v>387</v>
      </c>
      <c r="B33" s="91" t="s">
        <v>388</v>
      </c>
      <c r="C33" s="86">
        <f>C34</f>
        <v>38000</v>
      </c>
      <c r="D33" s="86"/>
      <c r="E33" s="86"/>
      <c r="F33" s="86">
        <f>F34</f>
        <v>38000</v>
      </c>
      <c r="G33" s="119"/>
    </row>
    <row r="34" spans="1:7" ht="15" customHeight="1">
      <c r="A34" s="88" t="s">
        <v>389</v>
      </c>
      <c r="B34" s="88" t="s">
        <v>390</v>
      </c>
      <c r="C34" s="41">
        <v>38000</v>
      </c>
      <c r="D34" s="41"/>
      <c r="E34" s="41"/>
      <c r="F34" s="118">
        <f>C34</f>
        <v>38000</v>
      </c>
      <c r="G34" s="119"/>
    </row>
    <row r="35" spans="1:7" ht="15" customHeight="1">
      <c r="A35" s="85">
        <v>2</v>
      </c>
      <c r="B35" s="85" t="s">
        <v>391</v>
      </c>
      <c r="C35" s="86">
        <f>C38+C50+C55+C63+C36</f>
        <v>611109</v>
      </c>
      <c r="D35" s="41"/>
      <c r="E35" s="41"/>
      <c r="F35" s="115">
        <f>C35</f>
        <v>611109</v>
      </c>
      <c r="G35" s="119"/>
    </row>
    <row r="36" spans="1:7" ht="15" customHeight="1">
      <c r="A36" s="85" t="s">
        <v>392</v>
      </c>
      <c r="B36" s="85" t="s">
        <v>393</v>
      </c>
      <c r="C36" s="115">
        <f>C37</f>
        <v>5000</v>
      </c>
      <c r="D36" s="86"/>
      <c r="E36" s="86"/>
      <c r="F36" s="115">
        <f>F37</f>
        <v>5000</v>
      </c>
      <c r="G36" s="119"/>
    </row>
    <row r="37" spans="1:7" ht="30" customHeight="1">
      <c r="A37" s="88" t="s">
        <v>394</v>
      </c>
      <c r="B37" s="64" t="s">
        <v>395</v>
      </c>
      <c r="C37" s="41">
        <v>5000</v>
      </c>
      <c r="D37" s="41"/>
      <c r="E37" s="41"/>
      <c r="F37" s="118">
        <f>C37</f>
        <v>5000</v>
      </c>
      <c r="G37" s="119"/>
    </row>
    <row r="38" spans="1:7" s="93" customFormat="1" ht="30" customHeight="1">
      <c r="A38" s="85" t="s">
        <v>396</v>
      </c>
      <c r="B38" s="91" t="s">
        <v>397</v>
      </c>
      <c r="C38" s="115">
        <f>C39+C44</f>
        <v>18140</v>
      </c>
      <c r="D38" s="86"/>
      <c r="E38" s="86"/>
      <c r="F38" s="115">
        <f>C38</f>
        <v>18140</v>
      </c>
      <c r="G38" s="122"/>
    </row>
    <row r="39" spans="1:7" s="93" customFormat="1" ht="15" customHeight="1">
      <c r="A39" s="85" t="s">
        <v>398</v>
      </c>
      <c r="B39" s="91" t="s">
        <v>399</v>
      </c>
      <c r="C39" s="86">
        <f>C40+C41+C42</f>
        <v>11690</v>
      </c>
      <c r="D39" s="86"/>
      <c r="E39" s="86"/>
      <c r="F39" s="115">
        <f>C39</f>
        <v>11690</v>
      </c>
      <c r="G39" s="122"/>
    </row>
    <row r="40" spans="1:7" ht="30" customHeight="1">
      <c r="A40" s="88" t="s">
        <v>400</v>
      </c>
      <c r="B40" s="64" t="s">
        <v>401</v>
      </c>
      <c r="C40" s="118">
        <v>10000</v>
      </c>
      <c r="D40" s="41"/>
      <c r="E40" s="41"/>
      <c r="F40" s="118">
        <f t="shared" si="2" ref="F40:F42">=C40</f>
        <v>10000</v>
      </c>
      <c r="G40" s="119"/>
    </row>
    <row r="41" spans="1:7" ht="30" customHeight="1">
      <c r="A41" s="88" t="s">
        <v>402</v>
      </c>
      <c r="B41" s="64" t="s">
        <v>403</v>
      </c>
      <c r="C41" s="118">
        <v>1400</v>
      </c>
      <c r="D41" s="41"/>
      <c r="E41" s="41"/>
      <c r="F41" s="118">
        <f t="shared" si="2"/>
        <v>1400</v>
      </c>
      <c r="G41" s="119"/>
    </row>
    <row r="42" spans="1:7" ht="30" customHeight="1">
      <c r="A42" s="88" t="s">
        <v>404</v>
      </c>
      <c r="B42" s="64" t="s">
        <v>405</v>
      </c>
      <c r="C42" s="41">
        <f>C43</f>
        <v>290</v>
      </c>
      <c r="D42" s="41"/>
      <c r="E42" s="41"/>
      <c r="F42" s="118">
        <f t="shared" si="2"/>
        <v>290</v>
      </c>
      <c r="G42" s="119"/>
    </row>
    <row r="43" spans="1:7" ht="15" customHeight="1">
      <c r="A43" s="88" t="s">
        <v>406</v>
      </c>
      <c r="B43" s="64" t="s">
        <v>407</v>
      </c>
      <c r="C43" s="41">
        <v>290</v>
      </c>
      <c r="D43" s="41"/>
      <c r="E43" s="41"/>
      <c r="F43" s="118">
        <f>C43</f>
        <v>290</v>
      </c>
      <c r="G43" s="119"/>
    </row>
    <row r="44" spans="1:7" ht="15" customHeight="1">
      <c r="A44" s="85" t="s">
        <v>408</v>
      </c>
      <c r="B44" s="85" t="s">
        <v>409</v>
      </c>
      <c r="C44" s="86">
        <f>C45+C46+C47+C48+C49</f>
        <v>6450</v>
      </c>
      <c r="D44" s="41"/>
      <c r="E44" s="41"/>
      <c r="F44" s="115">
        <f>C44</f>
        <v>6450</v>
      </c>
      <c r="G44" s="119"/>
    </row>
    <row r="45" spans="1:7" ht="30" customHeight="1">
      <c r="A45" s="88" t="s">
        <v>410</v>
      </c>
      <c r="B45" s="64" t="s">
        <v>411</v>
      </c>
      <c r="C45" s="41">
        <v>300</v>
      </c>
      <c r="D45" s="41"/>
      <c r="E45" s="41"/>
      <c r="F45" s="118">
        <f t="shared" si="3" ref="F45:F48">=C45</f>
        <v>300</v>
      </c>
      <c r="G45" s="119"/>
    </row>
    <row r="46" spans="1:7" ht="15" customHeight="1">
      <c r="A46" s="88" t="s">
        <v>412</v>
      </c>
      <c r="B46" s="64" t="s">
        <v>413</v>
      </c>
      <c r="C46" s="41">
        <v>1000</v>
      </c>
      <c r="D46" s="41"/>
      <c r="E46" s="41"/>
      <c r="F46" s="118">
        <f t="shared" si="3"/>
        <v>1000</v>
      </c>
      <c r="G46" s="119"/>
    </row>
    <row r="47" spans="1:7" ht="30" customHeight="1">
      <c r="A47" s="88" t="s">
        <v>414</v>
      </c>
      <c r="B47" s="64" t="s">
        <v>415</v>
      </c>
      <c r="C47" s="41">
        <v>50</v>
      </c>
      <c r="D47" s="41"/>
      <c r="E47" s="41"/>
      <c r="F47" s="118">
        <f t="shared" si="3"/>
        <v>50</v>
      </c>
      <c r="G47" s="119"/>
    </row>
    <row r="48" spans="1:7" ht="15" customHeight="1">
      <c r="A48" s="88" t="s">
        <v>416</v>
      </c>
      <c r="B48" s="64" t="s">
        <v>417</v>
      </c>
      <c r="C48" s="118">
        <v>5000</v>
      </c>
      <c r="D48" s="41"/>
      <c r="E48" s="41"/>
      <c r="F48" s="118">
        <f t="shared" si="3"/>
        <v>5000</v>
      </c>
      <c r="G48" s="119"/>
    </row>
    <row r="49" spans="1:7" ht="15" customHeight="1">
      <c r="A49" s="88" t="s">
        <v>418</v>
      </c>
      <c r="B49" s="64" t="s">
        <v>419</v>
      </c>
      <c r="C49" s="41">
        <v>100</v>
      </c>
      <c r="D49" s="41"/>
      <c r="E49" s="41"/>
      <c r="F49" s="118">
        <f>C49</f>
        <v>100</v>
      </c>
      <c r="G49" s="119"/>
    </row>
    <row r="50" spans="1:7" ht="15" customHeight="1">
      <c r="A50" s="85" t="s">
        <v>420</v>
      </c>
      <c r="B50" s="85" t="s">
        <v>421</v>
      </c>
      <c r="C50" s="115">
        <f>C51+C54</f>
        <v>4000</v>
      </c>
      <c r="D50" s="41"/>
      <c r="E50" s="41"/>
      <c r="F50" s="115">
        <f>C50</f>
        <v>4000</v>
      </c>
      <c r="G50" s="119"/>
    </row>
    <row r="51" spans="1:7" ht="15" customHeight="1">
      <c r="A51" s="88" t="s">
        <v>422</v>
      </c>
      <c r="B51" s="64" t="s">
        <v>423</v>
      </c>
      <c r="C51" s="41">
        <f>C52+C53</f>
        <v>3500</v>
      </c>
      <c r="D51" s="41"/>
      <c r="E51" s="41"/>
      <c r="F51" s="118">
        <f t="shared" si="4" ref="F51:F53">=C51</f>
        <v>3500</v>
      </c>
      <c r="G51" s="119"/>
    </row>
    <row r="52" spans="1:7" ht="30" customHeight="1">
      <c r="A52" s="88" t="s">
        <v>424</v>
      </c>
      <c r="B52" s="94" t="s">
        <v>425</v>
      </c>
      <c r="C52" s="118">
        <v>2000</v>
      </c>
      <c r="D52" s="41"/>
      <c r="E52" s="41"/>
      <c r="F52" s="41">
        <f t="shared" si="4"/>
        <v>2000</v>
      </c>
      <c r="G52" s="119"/>
    </row>
    <row r="53" spans="1:7" ht="15" customHeight="1">
      <c r="A53" s="88" t="s">
        <v>426</v>
      </c>
      <c r="B53" s="94" t="s">
        <v>427</v>
      </c>
      <c r="C53" s="118">
        <v>1500</v>
      </c>
      <c r="D53" s="41"/>
      <c r="E53" s="41"/>
      <c r="F53" s="41">
        <f t="shared" si="4"/>
        <v>1500</v>
      </c>
      <c r="G53" s="119"/>
    </row>
    <row r="54" spans="1:7" ht="30" customHeight="1">
      <c r="A54" s="88" t="s">
        <v>428</v>
      </c>
      <c r="B54" s="64" t="s">
        <v>429</v>
      </c>
      <c r="C54" s="118">
        <v>500</v>
      </c>
      <c r="D54" s="41"/>
      <c r="E54" s="41"/>
      <c r="F54" s="41">
        <f>C54</f>
        <v>500</v>
      </c>
      <c r="G54" s="119"/>
    </row>
    <row r="55" spans="1:7" ht="15" customHeight="1">
      <c r="A55" s="85" t="s">
        <v>430</v>
      </c>
      <c r="B55" s="91" t="s">
        <v>431</v>
      </c>
      <c r="C55" s="115">
        <f>C56</f>
        <v>63969</v>
      </c>
      <c r="D55" s="41"/>
      <c r="E55" s="41"/>
      <c r="F55" s="115">
        <f>C55</f>
        <v>63969</v>
      </c>
      <c r="G55" s="119"/>
    </row>
    <row r="56" spans="1:7" ht="30" customHeight="1">
      <c r="A56" s="88" t="s">
        <v>432</v>
      </c>
      <c r="B56" s="64" t="s">
        <v>433</v>
      </c>
      <c r="C56" s="41">
        <f>C57</f>
        <v>63969</v>
      </c>
      <c r="D56" s="41"/>
      <c r="E56" s="41"/>
      <c r="F56" s="41">
        <f>F57</f>
        <v>63969</v>
      </c>
      <c r="G56" s="119"/>
    </row>
    <row r="57" spans="1:7" ht="15" customHeight="1">
      <c r="A57" s="88" t="s">
        <v>434</v>
      </c>
      <c r="B57" s="64" t="s">
        <v>435</v>
      </c>
      <c r="C57" s="41">
        <f>SUM(C58:C62)</f>
        <v>63969</v>
      </c>
      <c r="D57" s="41"/>
      <c r="E57" s="41"/>
      <c r="F57" s="41">
        <f>SUM(F58:F62)</f>
        <v>63969</v>
      </c>
      <c r="G57" s="119"/>
    </row>
    <row r="58" spans="1:7" ht="15" customHeight="1">
      <c r="A58" s="88"/>
      <c r="B58" s="88" t="s">
        <v>280</v>
      </c>
      <c r="C58" s="41">
        <v>4000</v>
      </c>
      <c r="D58" s="41"/>
      <c r="E58" s="41"/>
      <c r="F58" s="41">
        <f t="shared" si="5" ref="F58:F61">=C58</f>
        <v>4000</v>
      </c>
      <c r="G58" s="119"/>
    </row>
    <row r="59" spans="1:7" ht="15" customHeight="1">
      <c r="A59" s="88"/>
      <c r="B59" s="88" t="s">
        <v>436</v>
      </c>
      <c r="C59" s="118">
        <v>2120</v>
      </c>
      <c r="D59" s="41"/>
      <c r="E59" s="41"/>
      <c r="F59" s="41">
        <f t="shared" si="5"/>
        <v>2120</v>
      </c>
      <c r="G59" s="119"/>
    </row>
    <row r="60" spans="1:7" ht="15" customHeight="1">
      <c r="A60" s="88"/>
      <c r="B60" s="64" t="s">
        <v>49</v>
      </c>
      <c r="C60" s="118">
        <v>420</v>
      </c>
      <c r="D60" s="41"/>
      <c r="E60" s="41"/>
      <c r="F60" s="41">
        <f t="shared" si="5"/>
        <v>420</v>
      </c>
      <c r="G60" s="119"/>
    </row>
    <row r="61" spans="1:7" ht="15" customHeight="1">
      <c r="A61" s="88"/>
      <c r="B61" s="64" t="s">
        <v>66</v>
      </c>
      <c r="C61" s="118">
        <v>51600</v>
      </c>
      <c r="D61" s="41"/>
      <c r="E61" s="41"/>
      <c r="F61" s="41">
        <f t="shared" si="5"/>
        <v>51600</v>
      </c>
      <c r="G61" s="119"/>
    </row>
    <row r="62" spans="1:7" ht="30" customHeight="1">
      <c r="A62" s="88"/>
      <c r="B62" s="64" t="s">
        <v>437</v>
      </c>
      <c r="C62" s="97">
        <v>5829</v>
      </c>
      <c r="D62" s="41"/>
      <c r="E62" s="41"/>
      <c r="F62" s="41">
        <f t="shared" si="6" ref="F62">=C62</f>
        <v>5829</v>
      </c>
      <c r="G62" s="119"/>
    </row>
    <row r="63" spans="1:7" ht="30" customHeight="1">
      <c r="A63" s="85" t="s">
        <v>438</v>
      </c>
      <c r="B63" s="91" t="s">
        <v>439</v>
      </c>
      <c r="C63" s="115">
        <f>C64+C65</f>
        <v>520000</v>
      </c>
      <c r="D63" s="41"/>
      <c r="E63" s="41"/>
      <c r="F63" s="115">
        <f>F64+F65</f>
        <v>520000</v>
      </c>
      <c r="G63" s="119"/>
    </row>
    <row r="64" spans="1:7" ht="15" customHeight="1">
      <c r="A64" s="88" t="s">
        <v>440</v>
      </c>
      <c r="B64" s="64" t="s">
        <v>441</v>
      </c>
      <c r="C64" s="41">
        <v>20000</v>
      </c>
      <c r="D64" s="41"/>
      <c r="E64" s="41"/>
      <c r="F64" s="118">
        <f>C64</f>
        <v>20000</v>
      </c>
      <c r="G64" s="119"/>
    </row>
    <row r="65" spans="1:7" ht="15" customHeight="1">
      <c r="A65" s="88" t="s">
        <v>442</v>
      </c>
      <c r="B65" s="88" t="s">
        <v>443</v>
      </c>
      <c r="C65" s="41">
        <f>C66+C67</f>
        <v>500000</v>
      </c>
      <c r="D65" s="41"/>
      <c r="E65" s="41"/>
      <c r="F65" s="118">
        <f>C65</f>
        <v>500000</v>
      </c>
      <c r="G65" s="119"/>
    </row>
    <row r="66" spans="1:7" ht="15" customHeight="1">
      <c r="A66" s="88" t="s">
        <v>444</v>
      </c>
      <c r="B66" s="88" t="s">
        <v>445</v>
      </c>
      <c r="C66" s="41">
        <v>500000</v>
      </c>
      <c r="D66" s="41"/>
      <c r="E66" s="41"/>
      <c r="F66" s="118">
        <f>C66</f>
        <v>500000</v>
      </c>
      <c r="G66" s="119"/>
    </row>
    <row r="67" spans="1:7" ht="15" customHeight="1">
      <c r="A67" s="88" t="s">
        <v>446</v>
      </c>
      <c r="B67" s="88" t="s">
        <v>447</v>
      </c>
      <c r="C67" s="41"/>
      <c r="D67" s="41"/>
      <c r="E67" s="41"/>
      <c r="F67" s="41">
        <f>C67</f>
        <v>0</v>
      </c>
      <c r="G67" s="119"/>
    </row>
    <row r="68" spans="1:7" ht="47.1" customHeight="1">
      <c r="A68" s="85" t="s">
        <v>448</v>
      </c>
      <c r="B68" s="91" t="s">
        <v>449</v>
      </c>
      <c r="C68" s="86"/>
      <c r="D68" s="86"/>
      <c r="E68" s="115">
        <f>E70+E69</f>
        <v>80900</v>
      </c>
      <c r="F68" s="115">
        <f>E68</f>
        <v>80900</v>
      </c>
      <c r="G68" s="119"/>
    </row>
    <row r="69" spans="1:7" ht="30.6" customHeight="1">
      <c r="A69" s="88" t="s">
        <v>821</v>
      </c>
      <c r="B69" s="157" t="s">
        <v>824</v>
      </c>
      <c r="C69" s="86"/>
      <c r="D69" s="86"/>
      <c r="E69" s="118">
        <v>8000</v>
      </c>
      <c r="F69" s="118">
        <f>E69</f>
        <v>8000</v>
      </c>
      <c r="G69" s="119"/>
    </row>
    <row r="70" spans="1:7" ht="47.1" customHeight="1">
      <c r="A70" s="88" t="s">
        <v>451</v>
      </c>
      <c r="B70" s="44" t="s">
        <v>450</v>
      </c>
      <c r="C70" s="41"/>
      <c r="D70" s="41"/>
      <c r="E70" s="41">
        <v>72900</v>
      </c>
      <c r="F70" s="118">
        <f t="shared" si="7" ref="F70">=E70</f>
        <v>72900</v>
      </c>
      <c r="G70" s="119"/>
    </row>
    <row r="71" spans="1:7" ht="15" customHeight="1">
      <c r="A71" s="85" t="s">
        <v>453</v>
      </c>
      <c r="B71" s="85" t="s">
        <v>454</v>
      </c>
      <c r="C71" s="86"/>
      <c r="D71" s="86"/>
      <c r="E71" s="115">
        <f>E72+E129+E119+E130</f>
        <v>13926515</v>
      </c>
      <c r="F71" s="115">
        <f>E71</f>
        <v>13926515</v>
      </c>
      <c r="G71" s="119"/>
    </row>
    <row r="72" spans="1:7" ht="30" customHeight="1">
      <c r="A72" s="85" t="s">
        <v>455</v>
      </c>
      <c r="B72" s="91" t="s">
        <v>456</v>
      </c>
      <c r="C72" s="86"/>
      <c r="D72" s="86"/>
      <c r="E72" s="86">
        <f>E73+E74+E75+E76+E77+E78+E79+E80+E81+E82+E97+E98+E99+E100+E110+E111+E112+E115+E116+E117+E118</f>
        <v>7416429</v>
      </c>
      <c r="F72" s="115">
        <f>E72</f>
        <v>7416429</v>
      </c>
      <c r="G72" s="119"/>
    </row>
    <row r="73" spans="1:7" ht="45" customHeight="1">
      <c r="A73" s="88" t="s">
        <v>457</v>
      </c>
      <c r="B73" s="64" t="s">
        <v>458</v>
      </c>
      <c r="C73" s="41"/>
      <c r="D73" s="41"/>
      <c r="E73" s="41">
        <v>3251056</v>
      </c>
      <c r="F73" s="41">
        <f t="shared" si="8" ref="F73:F82">=E73</f>
        <v>3251056</v>
      </c>
      <c r="G73" s="119"/>
    </row>
    <row r="74" spans="1:7" ht="60" customHeight="1">
      <c r="A74" s="88" t="s">
        <v>457</v>
      </c>
      <c r="B74" s="64" t="s">
        <v>459</v>
      </c>
      <c r="C74" s="41"/>
      <c r="D74" s="41"/>
      <c r="E74" s="41">
        <v>182000</v>
      </c>
      <c r="F74" s="41">
        <f t="shared" si="8"/>
        <v>182000</v>
      </c>
      <c r="G74" s="119"/>
    </row>
    <row r="75" spans="1:7" ht="45" customHeight="1">
      <c r="A75" s="88" t="s">
        <v>457</v>
      </c>
      <c r="B75" s="64" t="s">
        <v>460</v>
      </c>
      <c r="C75" s="41"/>
      <c r="D75" s="41"/>
      <c r="E75" s="41">
        <v>157847</v>
      </c>
      <c r="F75" s="41">
        <f t="shared" si="8"/>
        <v>157847</v>
      </c>
      <c r="G75" s="119"/>
    </row>
    <row r="76" spans="1:7" ht="60" customHeight="1">
      <c r="A76" s="88" t="s">
        <v>461</v>
      </c>
      <c r="B76" s="64" t="s">
        <v>462</v>
      </c>
      <c r="C76" s="41"/>
      <c r="D76" s="41"/>
      <c r="E76" s="118">
        <v>581731</v>
      </c>
      <c r="F76" s="41">
        <f t="shared" si="8"/>
        <v>581731</v>
      </c>
      <c r="G76" s="119"/>
    </row>
    <row r="77" spans="1:7" ht="30" customHeight="1">
      <c r="A77" s="88" t="s">
        <v>463</v>
      </c>
      <c r="B77" s="46" t="s">
        <v>464</v>
      </c>
      <c r="C77" s="41"/>
      <c r="D77" s="41"/>
      <c r="E77" s="41">
        <v>21550</v>
      </c>
      <c r="F77" s="41">
        <f t="shared" si="8"/>
        <v>21550</v>
      </c>
      <c r="G77" s="119"/>
    </row>
    <row r="78" spans="1:7" ht="15" customHeight="1">
      <c r="A78" s="88" t="s">
        <v>465</v>
      </c>
      <c r="B78" s="64" t="s">
        <v>466</v>
      </c>
      <c r="C78" s="41"/>
      <c r="D78" s="41"/>
      <c r="E78" s="41">
        <v>963135</v>
      </c>
      <c r="F78" s="41">
        <f>E78</f>
        <v>963135</v>
      </c>
      <c r="G78" s="119"/>
    </row>
    <row r="79" spans="1:7" ht="15" customHeight="1">
      <c r="A79" s="88" t="s">
        <v>467</v>
      </c>
      <c r="B79" s="88" t="s">
        <v>468</v>
      </c>
      <c r="C79" s="41"/>
      <c r="D79" s="41"/>
      <c r="E79" s="41">
        <v>374372</v>
      </c>
      <c r="F79" s="41">
        <f t="shared" si="8"/>
        <v>374372</v>
      </c>
      <c r="G79" s="119"/>
    </row>
    <row r="80" spans="1:6" ht="15" customHeight="1">
      <c r="A80" s="88" t="s">
        <v>469</v>
      </c>
      <c r="B80" s="88" t="s">
        <v>470</v>
      </c>
      <c r="C80" s="41"/>
      <c r="D80" s="41"/>
      <c r="E80" s="41">
        <v>538057</v>
      </c>
      <c r="F80" s="41">
        <f t="shared" si="8"/>
        <v>538057</v>
      </c>
    </row>
    <row r="81" spans="1:7" ht="30" customHeight="1">
      <c r="A81" s="88" t="s">
        <v>471</v>
      </c>
      <c r="B81" s="64" t="s">
        <v>472</v>
      </c>
      <c r="C81" s="41"/>
      <c r="D81" s="41"/>
      <c r="E81" s="41">
        <v>161226</v>
      </c>
      <c r="F81" s="41">
        <f t="shared" si="8"/>
        <v>161226</v>
      </c>
      <c r="G81" s="119"/>
    </row>
    <row r="82" spans="1:6" ht="45" customHeight="1">
      <c r="A82" s="88" t="s">
        <v>473</v>
      </c>
      <c r="B82" s="64" t="s">
        <v>474</v>
      </c>
      <c r="C82" s="41"/>
      <c r="D82" s="41"/>
      <c r="E82" s="41">
        <f>SUM(E83:E96)</f>
        <v>26598</v>
      </c>
      <c r="F82" s="41">
        <f t="shared" si="8"/>
        <v>26598</v>
      </c>
    </row>
    <row r="83" spans="1:6" ht="15" customHeight="1">
      <c r="A83" s="88"/>
      <c r="B83" s="64" t="s">
        <v>475</v>
      </c>
      <c r="C83" s="41"/>
      <c r="D83" s="41"/>
      <c r="E83" s="118">
        <v>403</v>
      </c>
      <c r="F83" s="41">
        <f>C83+D83+E83</f>
        <v>403</v>
      </c>
    </row>
    <row r="84" spans="1:6" ht="15" customHeight="1">
      <c r="A84" s="88"/>
      <c r="B84" s="64" t="s">
        <v>155</v>
      </c>
      <c r="C84" s="41"/>
      <c r="D84" s="41"/>
      <c r="E84" s="118">
        <v>2015</v>
      </c>
      <c r="F84" s="41">
        <f t="shared" si="9" ref="F84:F96">=C84+D84+E84</f>
        <v>2015</v>
      </c>
    </row>
    <row r="85" spans="1:6" ht="15" customHeight="1">
      <c r="A85" s="88"/>
      <c r="B85" s="64" t="s">
        <v>80</v>
      </c>
      <c r="C85" s="41"/>
      <c r="D85" s="41"/>
      <c r="E85" s="118">
        <v>6851</v>
      </c>
      <c r="F85" s="41">
        <f t="shared" si="9"/>
        <v>6851</v>
      </c>
    </row>
    <row r="86" spans="1:6" ht="15" customHeight="1">
      <c r="A86" s="88"/>
      <c r="B86" s="64" t="s">
        <v>192</v>
      </c>
      <c r="C86" s="41"/>
      <c r="D86" s="41"/>
      <c r="E86" s="118">
        <v>3224</v>
      </c>
      <c r="F86" s="41">
        <f t="shared" si="9"/>
        <v>3224</v>
      </c>
    </row>
    <row r="87" spans="1:6" ht="15" customHeight="1">
      <c r="A87" s="88"/>
      <c r="B87" s="64" t="s">
        <v>160</v>
      </c>
      <c r="C87" s="41"/>
      <c r="D87" s="41"/>
      <c r="E87" s="118">
        <v>1612</v>
      </c>
      <c r="F87" s="41">
        <f t="shared" si="9"/>
        <v>1612</v>
      </c>
    </row>
    <row r="88" spans="1:6" ht="15" customHeight="1">
      <c r="A88" s="88"/>
      <c r="B88" s="64" t="s">
        <v>476</v>
      </c>
      <c r="C88" s="41"/>
      <c r="D88" s="41"/>
      <c r="E88" s="118">
        <v>2015</v>
      </c>
      <c r="F88" s="41">
        <f t="shared" si="9"/>
        <v>2015</v>
      </c>
    </row>
    <row r="89" spans="1:6" ht="15" customHeight="1">
      <c r="A89" s="88"/>
      <c r="B89" s="64" t="s">
        <v>477</v>
      </c>
      <c r="C89" s="41"/>
      <c r="D89" s="41"/>
      <c r="E89" s="118">
        <v>1209</v>
      </c>
      <c r="F89" s="41">
        <f t="shared" si="9"/>
        <v>1209</v>
      </c>
    </row>
    <row r="90" spans="1:6" ht="15" customHeight="1">
      <c r="A90" s="88"/>
      <c r="B90" s="64" t="s">
        <v>478</v>
      </c>
      <c r="C90" s="41"/>
      <c r="D90" s="41"/>
      <c r="E90" s="118">
        <v>4030</v>
      </c>
      <c r="F90" s="41">
        <f t="shared" si="9"/>
        <v>4030</v>
      </c>
    </row>
    <row r="91" spans="1:6" ht="15" customHeight="1">
      <c r="A91" s="88"/>
      <c r="B91" s="64" t="s">
        <v>201</v>
      </c>
      <c r="C91" s="41"/>
      <c r="D91" s="41"/>
      <c r="E91" s="118">
        <v>403</v>
      </c>
      <c r="F91" s="41">
        <f t="shared" si="9"/>
        <v>403</v>
      </c>
    </row>
    <row r="92" spans="1:6" ht="15" customHeight="1">
      <c r="A92" s="88"/>
      <c r="B92" s="64" t="s">
        <v>310</v>
      </c>
      <c r="C92" s="41"/>
      <c r="D92" s="41"/>
      <c r="E92" s="118">
        <v>1612</v>
      </c>
      <c r="F92" s="41">
        <f t="shared" si="9"/>
        <v>1612</v>
      </c>
    </row>
    <row r="93" spans="1:6" ht="15" customHeight="1">
      <c r="A93" s="88"/>
      <c r="B93" s="64" t="s">
        <v>479</v>
      </c>
      <c r="C93" s="41"/>
      <c r="D93" s="41"/>
      <c r="E93" s="118">
        <v>1209</v>
      </c>
      <c r="F93" s="41">
        <f t="shared" si="9"/>
        <v>1209</v>
      </c>
    </row>
    <row r="94" spans="1:6" ht="15" customHeight="1">
      <c r="A94" s="88"/>
      <c r="B94" s="64" t="s">
        <v>156</v>
      </c>
      <c r="C94" s="41"/>
      <c r="D94" s="41"/>
      <c r="E94" s="118">
        <v>403</v>
      </c>
      <c r="F94" s="41">
        <f t="shared" si="9"/>
        <v>403</v>
      </c>
    </row>
    <row r="95" spans="1:6" ht="15" customHeight="1">
      <c r="A95" s="88"/>
      <c r="B95" s="64" t="s">
        <v>480</v>
      </c>
      <c r="C95" s="41"/>
      <c r="D95" s="41"/>
      <c r="E95" s="118">
        <v>403</v>
      </c>
      <c r="F95" s="41">
        <f t="shared" si="9"/>
        <v>403</v>
      </c>
    </row>
    <row r="96" spans="1:6" ht="15" customHeight="1">
      <c r="A96" s="88"/>
      <c r="B96" s="64" t="s">
        <v>218</v>
      </c>
      <c r="C96" s="41"/>
      <c r="D96" s="41"/>
      <c r="E96" s="118">
        <v>1209</v>
      </c>
      <c r="F96" s="41">
        <f t="shared" si="9"/>
        <v>1209</v>
      </c>
    </row>
    <row r="97" spans="1:6" ht="30" customHeight="1">
      <c r="A97" s="88" t="s">
        <v>481</v>
      </c>
      <c r="B97" s="64" t="s">
        <v>482</v>
      </c>
      <c r="C97" s="41"/>
      <c r="D97" s="41"/>
      <c r="E97" s="118">
        <v>26000</v>
      </c>
      <c r="F97" s="41">
        <f t="shared" si="10" ref="F97:F115">=E97</f>
        <v>26000</v>
      </c>
    </row>
    <row r="98" spans="1:6" ht="15" customHeight="1">
      <c r="A98" s="88"/>
      <c r="B98" s="46" t="s">
        <v>483</v>
      </c>
      <c r="C98" s="41"/>
      <c r="D98" s="41"/>
      <c r="E98" s="41">
        <v>12789</v>
      </c>
      <c r="F98" s="41">
        <f t="shared" si="10"/>
        <v>12789</v>
      </c>
    </row>
    <row r="99" spans="1:6" ht="30" customHeight="1">
      <c r="A99" s="88" t="s">
        <v>484</v>
      </c>
      <c r="B99" s="64" t="s">
        <v>755</v>
      </c>
      <c r="C99" s="41"/>
      <c r="D99" s="41"/>
      <c r="E99" s="41">
        <v>4770</v>
      </c>
      <c r="F99" s="41">
        <f t="shared" si="10"/>
        <v>4770</v>
      </c>
    </row>
    <row r="100" spans="1:6" ht="15" customHeight="1">
      <c r="A100" s="88" t="s">
        <v>485</v>
      </c>
      <c r="B100" s="88" t="s">
        <v>486</v>
      </c>
      <c r="C100" s="41"/>
      <c r="D100" s="41"/>
      <c r="E100" s="41">
        <f>SUM(E101:E109)</f>
        <v>115434</v>
      </c>
      <c r="F100" s="41">
        <f>E100</f>
        <v>115434</v>
      </c>
    </row>
    <row r="101" spans="1:7" s="101" customFormat="1" ht="15" customHeight="1">
      <c r="A101" s="98"/>
      <c r="B101" s="106" t="s">
        <v>487</v>
      </c>
      <c r="C101" s="99"/>
      <c r="D101" s="99"/>
      <c r="E101" s="143">
        <v>12896</v>
      </c>
      <c r="F101" s="99">
        <f t="shared" si="10"/>
        <v>12896</v>
      </c>
      <c r="G101" s="100"/>
    </row>
    <row r="102" spans="1:7" s="101" customFormat="1" ht="15" customHeight="1">
      <c r="A102" s="98"/>
      <c r="B102" s="106" t="s">
        <v>488</v>
      </c>
      <c r="C102" s="99"/>
      <c r="D102" s="99"/>
      <c r="E102" s="143">
        <v>12266</v>
      </c>
      <c r="F102" s="99">
        <f t="shared" si="10"/>
        <v>12266</v>
      </c>
      <c r="G102" s="100"/>
    </row>
    <row r="103" spans="1:7" s="101" customFormat="1" ht="15" customHeight="1">
      <c r="A103" s="98"/>
      <c r="B103" s="144" t="s">
        <v>489</v>
      </c>
      <c r="C103" s="99"/>
      <c r="D103" s="99"/>
      <c r="E103" s="143">
        <v>12896</v>
      </c>
      <c r="F103" s="99">
        <f t="shared" si="10"/>
        <v>12896</v>
      </c>
      <c r="G103" s="100"/>
    </row>
    <row r="104" spans="1:7" s="101" customFormat="1" ht="15" customHeight="1">
      <c r="A104" s="98"/>
      <c r="B104" s="144" t="s">
        <v>490</v>
      </c>
      <c r="C104" s="99"/>
      <c r="D104" s="99"/>
      <c r="E104" s="143">
        <v>12896</v>
      </c>
      <c r="F104" s="99">
        <f t="shared" si="10"/>
        <v>12896</v>
      </c>
      <c r="G104" s="100"/>
    </row>
    <row r="105" spans="1:7" s="101" customFormat="1" ht="15" customHeight="1">
      <c r="A105" s="98"/>
      <c r="B105" s="144" t="s">
        <v>491</v>
      </c>
      <c r="C105" s="99"/>
      <c r="D105" s="99"/>
      <c r="E105" s="143">
        <v>12896</v>
      </c>
      <c r="F105" s="99">
        <f t="shared" si="10"/>
        <v>12896</v>
      </c>
      <c r="G105" s="100"/>
    </row>
    <row r="106" spans="1:7" s="101" customFormat="1" ht="15" customHeight="1">
      <c r="A106" s="98"/>
      <c r="B106" s="144" t="s">
        <v>492</v>
      </c>
      <c r="C106" s="99"/>
      <c r="D106" s="99"/>
      <c r="E106" s="143">
        <v>12896</v>
      </c>
      <c r="F106" s="99">
        <f t="shared" si="10"/>
        <v>12896</v>
      </c>
      <c r="G106" s="100"/>
    </row>
    <row r="107" spans="1:7" s="101" customFormat="1" ht="15" customHeight="1">
      <c r="A107" s="98"/>
      <c r="B107" s="144" t="s">
        <v>153</v>
      </c>
      <c r="C107" s="99"/>
      <c r="D107" s="99"/>
      <c r="E107" s="143">
        <v>12896</v>
      </c>
      <c r="F107" s="99">
        <f t="shared" si="10"/>
        <v>12896</v>
      </c>
      <c r="G107" s="100"/>
    </row>
    <row r="108" spans="1:7" s="101" customFormat="1" ht="15" customHeight="1">
      <c r="A108" s="98"/>
      <c r="B108" s="144" t="s">
        <v>493</v>
      </c>
      <c r="C108" s="99"/>
      <c r="D108" s="99"/>
      <c r="E108" s="143">
        <v>12896</v>
      </c>
      <c r="F108" s="99">
        <f t="shared" si="10"/>
        <v>12896</v>
      </c>
      <c r="G108" s="100"/>
    </row>
    <row r="109" spans="1:7" s="101" customFormat="1" ht="15" customHeight="1">
      <c r="A109" s="98"/>
      <c r="B109" s="144" t="s">
        <v>494</v>
      </c>
      <c r="C109" s="99"/>
      <c r="D109" s="99"/>
      <c r="E109" s="143">
        <v>12896</v>
      </c>
      <c r="F109" s="99">
        <f t="shared" si="10"/>
        <v>12896</v>
      </c>
      <c r="G109" s="100"/>
    </row>
    <row r="110" spans="1:6" ht="15" customHeight="1">
      <c r="A110" s="88"/>
      <c r="B110" s="43" t="s">
        <v>189</v>
      </c>
      <c r="C110" s="41"/>
      <c r="D110" s="41"/>
      <c r="E110" s="143">
        <v>19829</v>
      </c>
      <c r="F110" s="99">
        <f t="shared" si="10"/>
        <v>19829</v>
      </c>
    </row>
    <row r="111" spans="1:6" ht="30" customHeight="1">
      <c r="A111" s="88" t="s">
        <v>495</v>
      </c>
      <c r="B111" s="64" t="s">
        <v>496</v>
      </c>
      <c r="C111" s="41"/>
      <c r="D111" s="41"/>
      <c r="E111" s="41">
        <v>632852</v>
      </c>
      <c r="F111" s="41">
        <f t="shared" si="10"/>
        <v>632852</v>
      </c>
    </row>
    <row r="112" spans="1:6" ht="30" customHeight="1">
      <c r="A112" s="88"/>
      <c r="B112" s="46" t="s">
        <v>254</v>
      </c>
      <c r="C112" s="41"/>
      <c r="D112" s="41"/>
      <c r="E112" s="41">
        <v>46467</v>
      </c>
      <c r="F112" s="41">
        <f t="shared" si="10"/>
        <v>46467</v>
      </c>
    </row>
    <row r="113" spans="1:6" ht="30" customHeight="1">
      <c r="A113" s="88" t="s">
        <v>773</v>
      </c>
      <c r="B113" s="46" t="s">
        <v>774</v>
      </c>
      <c r="C113" s="41"/>
      <c r="D113" s="41"/>
      <c r="E113" s="41">
        <v>60100</v>
      </c>
      <c r="F113" s="41">
        <f t="shared" si="10"/>
        <v>60100</v>
      </c>
    </row>
    <row r="114" spans="1:6" ht="30" customHeight="1">
      <c r="A114" s="88" t="s">
        <v>826</v>
      </c>
      <c r="B114" s="46" t="s">
        <v>825</v>
      </c>
      <c r="C114" s="41"/>
      <c r="D114" s="41"/>
      <c r="E114" s="41">
        <v>4729</v>
      </c>
      <c r="F114" s="41">
        <f t="shared" si="10"/>
        <v>4729</v>
      </c>
    </row>
    <row r="115" spans="1:6" ht="22.5" customHeight="1">
      <c r="A115" s="88" t="s">
        <v>497</v>
      </c>
      <c r="B115" s="63" t="s">
        <v>687</v>
      </c>
      <c r="C115" s="41"/>
      <c r="D115" s="41"/>
      <c r="E115" s="41">
        <v>34992</v>
      </c>
      <c r="F115" s="41">
        <f t="shared" si="10"/>
        <v>34992</v>
      </c>
    </row>
    <row r="116" spans="1:6" ht="30" customHeight="1">
      <c r="A116" s="88" t="s">
        <v>498</v>
      </c>
      <c r="B116" s="63" t="s">
        <v>692</v>
      </c>
      <c r="C116" s="41"/>
      <c r="D116" s="41"/>
      <c r="E116" s="41">
        <v>2000</v>
      </c>
      <c r="F116" s="41">
        <f t="shared" si="11" ref="F116">=E116</f>
        <v>2000</v>
      </c>
    </row>
    <row r="117" spans="1:6" ht="36" customHeight="1">
      <c r="A117" s="88" t="s">
        <v>498</v>
      </c>
      <c r="B117" s="63" t="s">
        <v>827</v>
      </c>
      <c r="C117" s="41"/>
      <c r="D117" s="41"/>
      <c r="E117" s="109">
        <v>18531</v>
      </c>
      <c r="F117" s="41">
        <f t="shared" si="12" ref="F117">=E117</f>
        <v>18531</v>
      </c>
    </row>
    <row r="118" spans="1:8" s="93" customFormat="1" ht="21.75" customHeight="1">
      <c r="A118" s="88" t="s">
        <v>499</v>
      </c>
      <c r="B118" s="44" t="s">
        <v>500</v>
      </c>
      <c r="C118" s="41"/>
      <c r="D118" s="41"/>
      <c r="E118" s="41">
        <v>245193</v>
      </c>
      <c r="F118" s="41">
        <f>E118</f>
        <v>245193</v>
      </c>
      <c r="G118" s="78"/>
      <c r="H118" s="66"/>
    </row>
    <row r="119" spans="1:8" ht="69.75" customHeight="1">
      <c r="A119" s="85" t="s">
        <v>501</v>
      </c>
      <c r="B119" s="91" t="s">
        <v>502</v>
      </c>
      <c r="C119" s="86"/>
      <c r="D119" s="86"/>
      <c r="E119" s="86">
        <f>SUM(E120:E128)</f>
        <v>77457</v>
      </c>
      <c r="F119" s="86">
        <f>E119</f>
        <v>77457</v>
      </c>
      <c r="G119" s="92"/>
      <c r="H119" s="93"/>
    </row>
    <row r="120" spans="1:6" ht="15" customHeight="1">
      <c r="A120" s="88" t="s">
        <v>503</v>
      </c>
      <c r="B120" s="44" t="s">
        <v>504</v>
      </c>
      <c r="C120" s="86"/>
      <c r="D120" s="41"/>
      <c r="E120" s="41">
        <v>20000</v>
      </c>
      <c r="F120" s="41">
        <f t="shared" si="13" ref="F120:F128">=E120</f>
        <v>20000</v>
      </c>
    </row>
    <row r="121" spans="1:6" ht="18" customHeight="1">
      <c r="A121" s="88" t="s">
        <v>505</v>
      </c>
      <c r="B121" s="46" t="s">
        <v>61</v>
      </c>
      <c r="C121" s="86"/>
      <c r="D121" s="41"/>
      <c r="E121" s="41">
        <v>9232</v>
      </c>
      <c r="F121" s="41">
        <f t="shared" si="13"/>
        <v>9232</v>
      </c>
    </row>
    <row r="122" spans="1:6" ht="30" customHeight="1">
      <c r="A122" s="88"/>
      <c r="B122" s="44" t="s">
        <v>241</v>
      </c>
      <c r="C122" s="86"/>
      <c r="D122" s="41"/>
      <c r="E122" s="41">
        <v>23000</v>
      </c>
      <c r="F122" s="41">
        <f t="shared" si="13"/>
        <v>23000</v>
      </c>
    </row>
    <row r="123" spans="1:6" ht="32.25" customHeight="1">
      <c r="A123" s="88"/>
      <c r="B123" s="44" t="s">
        <v>242</v>
      </c>
      <c r="C123" s="86"/>
      <c r="D123" s="41"/>
      <c r="E123" s="41"/>
      <c r="F123" s="41">
        <f t="shared" si="13"/>
        <v>0</v>
      </c>
    </row>
    <row r="124" spans="1:6" ht="40.5" customHeight="1">
      <c r="A124" s="88"/>
      <c r="B124" s="46" t="s">
        <v>779</v>
      </c>
      <c r="C124" s="86"/>
      <c r="D124" s="41"/>
      <c r="E124" s="41">
        <v>6386</v>
      </c>
      <c r="F124" s="41">
        <f t="shared" si="13"/>
        <v>6386</v>
      </c>
    </row>
    <row r="125" spans="1:6" ht="49.5" customHeight="1">
      <c r="A125" s="88"/>
      <c r="B125" s="46" t="s">
        <v>775</v>
      </c>
      <c r="C125" s="86"/>
      <c r="D125" s="41"/>
      <c r="E125" s="41">
        <v>1000</v>
      </c>
      <c r="F125" s="41">
        <f t="shared" si="13"/>
        <v>1000</v>
      </c>
    </row>
    <row r="126" spans="1:6" ht="38.25" customHeight="1">
      <c r="A126" s="88"/>
      <c r="B126" s="64" t="s">
        <v>756</v>
      </c>
      <c r="C126" s="86"/>
      <c r="D126" s="41"/>
      <c r="E126" s="41">
        <v>8000</v>
      </c>
      <c r="F126" s="41">
        <f t="shared" si="13"/>
        <v>8000</v>
      </c>
    </row>
    <row r="127" spans="1:6" ht="36" customHeight="1">
      <c r="A127" s="88"/>
      <c r="B127" s="64" t="s">
        <v>754</v>
      </c>
      <c r="C127" s="86"/>
      <c r="D127" s="41"/>
      <c r="E127" s="41">
        <v>7079</v>
      </c>
      <c r="F127" s="41">
        <f t="shared" si="13"/>
        <v>7079</v>
      </c>
    </row>
    <row r="128" spans="1:8" ht="33.75" customHeight="1">
      <c r="A128" s="88" t="s">
        <v>506</v>
      </c>
      <c r="B128" s="44" t="s">
        <v>507</v>
      </c>
      <c r="C128" s="86"/>
      <c r="D128" s="41"/>
      <c r="E128" s="41">
        <v>2760</v>
      </c>
      <c r="F128" s="41">
        <f t="shared" si="13"/>
        <v>2760</v>
      </c>
      <c r="G128" s="95"/>
      <c r="H128" s="96"/>
    </row>
    <row r="129" spans="1:7" s="93" customFormat="1" ht="33.75" customHeight="1">
      <c r="A129" s="85" t="s">
        <v>508</v>
      </c>
      <c r="B129" s="91" t="s">
        <v>509</v>
      </c>
      <c r="C129" s="86"/>
      <c r="D129" s="86"/>
      <c r="E129" s="86">
        <v>6066083</v>
      </c>
      <c r="F129" s="86">
        <f>E129</f>
        <v>6066083</v>
      </c>
      <c r="G129" s="92"/>
    </row>
    <row r="130" spans="1:7" s="93" customFormat="1" ht="35.25" customHeight="1">
      <c r="A130" s="85" t="s">
        <v>749</v>
      </c>
      <c r="B130" s="116" t="s">
        <v>750</v>
      </c>
      <c r="C130" s="86"/>
      <c r="D130" s="86"/>
      <c r="E130" s="86">
        <v>366546</v>
      </c>
      <c r="F130" s="86">
        <f>E130</f>
        <v>366546</v>
      </c>
      <c r="G130" s="123"/>
    </row>
    <row r="131" spans="1:8" ht="30.75" customHeight="1">
      <c r="A131" s="85" t="s">
        <v>700</v>
      </c>
      <c r="B131" s="91" t="s">
        <v>699</v>
      </c>
      <c r="C131" s="86"/>
      <c r="D131" s="115">
        <f>D132</f>
        <v>115000</v>
      </c>
      <c r="E131" s="86"/>
      <c r="F131" s="86">
        <f>C131+D131+E131</f>
        <v>115000</v>
      </c>
      <c r="G131" s="123"/>
      <c r="H131" s="93"/>
    </row>
    <row r="132" spans="1:7" ht="15" customHeight="1">
      <c r="A132" s="88" t="s">
        <v>701</v>
      </c>
      <c r="B132" s="64" t="s">
        <v>702</v>
      </c>
      <c r="C132" s="41"/>
      <c r="D132" s="41">
        <v>115000</v>
      </c>
      <c r="E132" s="41"/>
      <c r="F132" s="118">
        <f>C132+D132+E132</f>
        <v>115000</v>
      </c>
      <c r="G132" s="124"/>
    </row>
    <row r="133" spans="1:7" ht="30" customHeight="1">
      <c r="A133" s="117" t="s">
        <v>831</v>
      </c>
      <c r="B133" s="85" t="s">
        <v>511</v>
      </c>
      <c r="C133" s="86"/>
      <c r="D133" s="86">
        <f>D136+D421+D134</f>
        <v>5199810</v>
      </c>
      <c r="E133" s="41"/>
      <c r="F133" s="86">
        <f>D133</f>
        <v>5199810</v>
      </c>
      <c r="G133" s="124"/>
    </row>
    <row r="134" spans="1:7" ht="30" customHeight="1">
      <c r="A134" s="117" t="s">
        <v>832</v>
      </c>
      <c r="B134" s="85" t="s">
        <v>833</v>
      </c>
      <c r="C134" s="86"/>
      <c r="D134" s="86">
        <f>D135</f>
        <v>169672</v>
      </c>
      <c r="E134" s="41"/>
      <c r="F134" s="86">
        <f>F135</f>
        <v>169672</v>
      </c>
      <c r="G134" s="124"/>
    </row>
    <row r="135" spans="1:7" ht="81" customHeight="1">
      <c r="A135" s="117" t="s">
        <v>834</v>
      </c>
      <c r="B135" s="91" t="s">
        <v>835</v>
      </c>
      <c r="C135" s="86"/>
      <c r="D135" s="86">
        <v>169672</v>
      </c>
      <c r="E135" s="41"/>
      <c r="F135" s="86">
        <f>D135</f>
        <v>169672</v>
      </c>
      <c r="G135" s="124"/>
    </row>
    <row r="136" spans="1:8" s="93" customFormat="1" ht="31.5" customHeight="1">
      <c r="A136" s="85" t="s">
        <v>512</v>
      </c>
      <c r="B136" s="91" t="s">
        <v>513</v>
      </c>
      <c r="C136" s="86"/>
      <c r="D136" s="115">
        <f>D137+D158+D161+D236</f>
        <v>4955138</v>
      </c>
      <c r="E136" s="41"/>
      <c r="F136" s="115">
        <f>D136</f>
        <v>4955138</v>
      </c>
      <c r="G136" s="124"/>
      <c r="H136" s="66"/>
    </row>
    <row r="137" spans="1:7" s="93" customFormat="1" ht="15" customHeight="1">
      <c r="A137" s="85" t="s">
        <v>514</v>
      </c>
      <c r="B137" s="85" t="s">
        <v>515</v>
      </c>
      <c r="C137" s="86"/>
      <c r="D137" s="86">
        <f>D138+D143</f>
        <v>134214</v>
      </c>
      <c r="E137" s="86"/>
      <c r="F137" s="86">
        <f t="shared" si="14" ref="F137:F142">=D137</f>
        <v>134214</v>
      </c>
      <c r="G137" s="123"/>
    </row>
    <row r="138" spans="1:8" ht="15" customHeight="1">
      <c r="A138" s="85" t="s">
        <v>516</v>
      </c>
      <c r="B138" s="85" t="s">
        <v>517</v>
      </c>
      <c r="C138" s="86"/>
      <c r="D138" s="86">
        <f>SUM(D139:D142)</f>
        <v>23104</v>
      </c>
      <c r="E138" s="86"/>
      <c r="F138" s="86">
        <f t="shared" si="14"/>
        <v>23104</v>
      </c>
      <c r="G138" s="92"/>
      <c r="H138" s="93"/>
    </row>
    <row r="139" spans="1:6" ht="15" customHeight="1">
      <c r="A139" s="88"/>
      <c r="B139" s="43" t="s">
        <v>518</v>
      </c>
      <c r="C139" s="41"/>
      <c r="D139" s="41">
        <v>8020</v>
      </c>
      <c r="E139" s="41"/>
      <c r="F139" s="41">
        <f t="shared" si="14"/>
        <v>8020</v>
      </c>
    </row>
    <row r="140" spans="1:6" ht="15" customHeight="1">
      <c r="A140" s="88"/>
      <c r="B140" s="43" t="s">
        <v>519</v>
      </c>
      <c r="C140" s="41"/>
      <c r="D140" s="118">
        <v>9234</v>
      </c>
      <c r="E140" s="41"/>
      <c r="F140" s="41">
        <f t="shared" si="14"/>
        <v>9234</v>
      </c>
    </row>
    <row r="141" spans="1:6" ht="15" customHeight="1">
      <c r="A141" s="88"/>
      <c r="B141" s="43" t="s">
        <v>520</v>
      </c>
      <c r="C141" s="41"/>
      <c r="D141" s="41">
        <v>1750</v>
      </c>
      <c r="E141" s="41"/>
      <c r="F141" s="41">
        <f t="shared" si="14"/>
        <v>1750</v>
      </c>
    </row>
    <row r="142" spans="1:6" ht="15" customHeight="1">
      <c r="A142" s="88"/>
      <c r="B142" s="43" t="s">
        <v>539</v>
      </c>
      <c r="C142" s="41"/>
      <c r="D142" s="41">
        <v>4100</v>
      </c>
      <c r="E142" s="41"/>
      <c r="F142" s="41">
        <f t="shared" si="14"/>
        <v>4100</v>
      </c>
    </row>
    <row r="143" spans="1:8" ht="15" customHeight="1">
      <c r="A143" s="85" t="s">
        <v>521</v>
      </c>
      <c r="B143" s="85" t="s">
        <v>522</v>
      </c>
      <c r="C143" s="86"/>
      <c r="D143" s="86">
        <f>SUM(D144:D157)</f>
        <v>111110</v>
      </c>
      <c r="E143" s="86"/>
      <c r="F143" s="86">
        <f t="shared" si="15" ref="F143:F156">=D143</f>
        <v>111110</v>
      </c>
      <c r="G143" s="92"/>
      <c r="H143" s="93"/>
    </row>
    <row r="144" spans="1:6" ht="15" customHeight="1">
      <c r="A144" s="88"/>
      <c r="B144" s="43" t="s">
        <v>43</v>
      </c>
      <c r="C144" s="41"/>
      <c r="D144" s="118">
        <v>39000</v>
      </c>
      <c r="E144" s="41"/>
      <c r="F144" s="118">
        <f t="shared" si="15"/>
        <v>39000</v>
      </c>
    </row>
    <row r="145" spans="1:6" ht="15" customHeight="1">
      <c r="A145" s="88"/>
      <c r="B145" s="43" t="s">
        <v>44</v>
      </c>
      <c r="C145" s="41"/>
      <c r="D145" s="118">
        <v>22000</v>
      </c>
      <c r="E145" s="41"/>
      <c r="F145" s="118">
        <f t="shared" si="15"/>
        <v>22000</v>
      </c>
    </row>
    <row r="146" spans="1:6" ht="15" customHeight="1">
      <c r="A146" s="88"/>
      <c r="B146" s="43" t="s">
        <v>696</v>
      </c>
      <c r="C146" s="41"/>
      <c r="D146" s="118">
        <v>12551</v>
      </c>
      <c r="E146" s="41"/>
      <c r="F146" s="118">
        <f t="shared" si="15"/>
        <v>12551</v>
      </c>
    </row>
    <row r="147" spans="1:6" ht="15" customHeight="1">
      <c r="A147" s="88"/>
      <c r="B147" s="43" t="s">
        <v>45</v>
      </c>
      <c r="C147" s="41"/>
      <c r="D147" s="118">
        <v>2500</v>
      </c>
      <c r="E147" s="41"/>
      <c r="F147" s="118">
        <f t="shared" si="15"/>
        <v>2500</v>
      </c>
    </row>
    <row r="148" spans="1:6" ht="15" customHeight="1">
      <c r="A148" s="88"/>
      <c r="B148" s="43" t="s">
        <v>525</v>
      </c>
      <c r="C148" s="41"/>
      <c r="D148" s="118">
        <v>2500</v>
      </c>
      <c r="E148" s="41"/>
      <c r="F148" s="118">
        <f t="shared" si="15"/>
        <v>2500</v>
      </c>
    </row>
    <row r="149" spans="1:6" ht="15" customHeight="1">
      <c r="A149" s="88"/>
      <c r="B149" s="43" t="s">
        <v>735</v>
      </c>
      <c r="C149" s="41"/>
      <c r="D149" s="118">
        <v>6100</v>
      </c>
      <c r="E149" s="41"/>
      <c r="F149" s="118">
        <f t="shared" si="15"/>
        <v>6100</v>
      </c>
    </row>
    <row r="150" spans="1:6" ht="15" customHeight="1">
      <c r="A150" s="88"/>
      <c r="B150" s="43" t="s">
        <v>736</v>
      </c>
      <c r="C150" s="41"/>
      <c r="D150" s="118">
        <v>2819</v>
      </c>
      <c r="E150" s="41"/>
      <c r="F150" s="118">
        <f t="shared" si="15"/>
        <v>2819</v>
      </c>
    </row>
    <row r="151" spans="1:6" ht="15" customHeight="1">
      <c r="A151" s="88"/>
      <c r="B151" s="43" t="s">
        <v>524</v>
      </c>
      <c r="C151" s="41"/>
      <c r="D151" s="118">
        <v>7000</v>
      </c>
      <c r="E151" s="41"/>
      <c r="F151" s="118">
        <f t="shared" si="15"/>
        <v>7000</v>
      </c>
    </row>
    <row r="152" spans="1:6" ht="15" customHeight="1">
      <c r="A152" s="88"/>
      <c r="B152" s="43" t="s">
        <v>523</v>
      </c>
      <c r="C152" s="41"/>
      <c r="D152" s="118">
        <v>3850</v>
      </c>
      <c r="E152" s="41"/>
      <c r="F152" s="118">
        <f t="shared" si="15"/>
        <v>3850</v>
      </c>
    </row>
    <row r="153" spans="1:6" ht="15" customHeight="1">
      <c r="A153" s="88"/>
      <c r="B153" s="43" t="s">
        <v>711</v>
      </c>
      <c r="C153" s="41"/>
      <c r="D153" s="118">
        <v>4100</v>
      </c>
      <c r="E153" s="41"/>
      <c r="F153" s="118">
        <f t="shared" si="15"/>
        <v>4100</v>
      </c>
    </row>
    <row r="154" spans="1:7" ht="15" customHeight="1">
      <c r="A154" s="88"/>
      <c r="B154" s="43" t="s">
        <v>757</v>
      </c>
      <c r="C154" s="41"/>
      <c r="D154" s="118">
        <v>1000</v>
      </c>
      <c r="E154" s="41"/>
      <c r="F154" s="118">
        <f t="shared" si="15"/>
        <v>1000</v>
      </c>
      <c r="G154" s="142"/>
    </row>
    <row r="155" spans="1:7" ht="15" customHeight="1">
      <c r="A155" s="88"/>
      <c r="B155" s="43" t="s">
        <v>758</v>
      </c>
      <c r="C155" s="41"/>
      <c r="D155" s="118">
        <v>4880</v>
      </c>
      <c r="E155" s="41"/>
      <c r="F155" s="118">
        <f t="shared" si="15"/>
        <v>4880</v>
      </c>
      <c r="G155" s="142"/>
    </row>
    <row r="156" spans="1:7" ht="15" customHeight="1">
      <c r="A156" s="88"/>
      <c r="B156" s="43" t="s">
        <v>765</v>
      </c>
      <c r="C156" s="41"/>
      <c r="D156" s="118">
        <v>1660</v>
      </c>
      <c r="E156" s="41"/>
      <c r="F156" s="118">
        <f t="shared" si="15"/>
        <v>1660</v>
      </c>
      <c r="G156" s="142"/>
    </row>
    <row r="157" spans="1:8" s="93" customFormat="1" ht="15" customHeight="1">
      <c r="A157" s="88"/>
      <c r="B157" s="43" t="s">
        <v>712</v>
      </c>
      <c r="C157" s="41"/>
      <c r="D157" s="118">
        <v>1150</v>
      </c>
      <c r="E157" s="41"/>
      <c r="F157" s="118">
        <f>D157</f>
        <v>1150</v>
      </c>
      <c r="G157" s="78"/>
      <c r="H157" s="66"/>
    </row>
    <row r="158" spans="1:7" s="93" customFormat="1" ht="30" customHeight="1">
      <c r="A158" s="85" t="s">
        <v>526</v>
      </c>
      <c r="B158" s="91" t="s">
        <v>527</v>
      </c>
      <c r="C158" s="86"/>
      <c r="D158" s="86">
        <f>D159</f>
        <v>1340</v>
      </c>
      <c r="E158" s="86"/>
      <c r="F158" s="86">
        <f t="shared" si="16" ref="F158:F159">=D158</f>
        <v>1340</v>
      </c>
      <c r="G158" s="92"/>
    </row>
    <row r="159" spans="1:8" ht="31.5" customHeight="1">
      <c r="A159" s="85" t="s">
        <v>528</v>
      </c>
      <c r="B159" s="91" t="s">
        <v>529</v>
      </c>
      <c r="C159" s="86"/>
      <c r="D159" s="86">
        <f>SUM(D160:D160)</f>
        <v>1340</v>
      </c>
      <c r="E159" s="86"/>
      <c r="F159" s="86">
        <f t="shared" si="16"/>
        <v>1340</v>
      </c>
      <c r="G159" s="92"/>
      <c r="H159" s="93"/>
    </row>
    <row r="160" spans="1:8" s="93" customFormat="1" ht="15" customHeight="1">
      <c r="A160" s="88"/>
      <c r="B160" s="46" t="s">
        <v>15</v>
      </c>
      <c r="C160" s="41"/>
      <c r="D160" s="118">
        <v>1340</v>
      </c>
      <c r="E160" s="41"/>
      <c r="F160" s="41">
        <f>D160</f>
        <v>1340</v>
      </c>
      <c r="G160" s="78"/>
      <c r="H160" s="66"/>
    </row>
    <row r="161" spans="1:7" s="93" customFormat="1" ht="25.5" customHeight="1">
      <c r="A161" s="85" t="s">
        <v>530</v>
      </c>
      <c r="B161" s="85" t="s">
        <v>531</v>
      </c>
      <c r="C161" s="86"/>
      <c r="D161" s="86">
        <f>D162+D208+D214+D215</f>
        <v>582781</v>
      </c>
      <c r="E161" s="86"/>
      <c r="F161" s="86">
        <f t="shared" si="17" ref="F161:F206">=D161</f>
        <v>582781</v>
      </c>
      <c r="G161" s="92"/>
    </row>
    <row r="162" spans="1:8" ht="28.5" customHeight="1">
      <c r="A162" s="85" t="s">
        <v>532</v>
      </c>
      <c r="B162" s="91" t="s">
        <v>698</v>
      </c>
      <c r="C162" s="86"/>
      <c r="D162" s="86">
        <f>SUM(D163:D207)</f>
        <v>167059</v>
      </c>
      <c r="E162" s="86"/>
      <c r="F162" s="86">
        <f t="shared" si="17"/>
        <v>167059</v>
      </c>
      <c r="G162" s="92"/>
      <c r="H162" s="93"/>
    </row>
    <row r="163" spans="1:6" ht="15" customHeight="1">
      <c r="A163" s="88"/>
      <c r="B163" s="88" t="s">
        <v>533</v>
      </c>
      <c r="C163" s="41"/>
      <c r="D163" s="41">
        <f>91840+6124</f>
        <v>97964</v>
      </c>
      <c r="E163" s="41"/>
      <c r="F163" s="41">
        <f t="shared" si="17"/>
        <v>97964</v>
      </c>
    </row>
    <row r="164" spans="1:6" ht="15" customHeight="1">
      <c r="A164" s="88"/>
      <c r="B164" s="43" t="s">
        <v>782</v>
      </c>
      <c r="C164" s="41"/>
      <c r="D164" s="41">
        <v>305</v>
      </c>
      <c r="E164" s="41"/>
      <c r="F164" s="41">
        <f t="shared" si="17"/>
        <v>305</v>
      </c>
    </row>
    <row r="165" spans="1:6" ht="15" customHeight="1">
      <c r="A165" s="88"/>
      <c r="B165" s="140" t="s">
        <v>5</v>
      </c>
      <c r="C165" s="41"/>
      <c r="D165" s="118">
        <v>430</v>
      </c>
      <c r="E165" s="41"/>
      <c r="F165" s="41">
        <f t="shared" si="17"/>
        <v>430</v>
      </c>
    </row>
    <row r="166" spans="1:6" ht="21.75" customHeight="1">
      <c r="A166" s="88"/>
      <c r="B166" s="141" t="s">
        <v>93</v>
      </c>
      <c r="C166" s="41"/>
      <c r="D166" s="109">
        <v>430</v>
      </c>
      <c r="E166" s="41"/>
      <c r="F166" s="41">
        <f t="shared" si="17"/>
        <v>430</v>
      </c>
    </row>
    <row r="167" spans="1:6" ht="20.25" customHeight="1">
      <c r="A167" s="88"/>
      <c r="B167" s="140" t="s">
        <v>20</v>
      </c>
      <c r="C167" s="41"/>
      <c r="D167" s="109">
        <v>510</v>
      </c>
      <c r="E167" s="41"/>
      <c r="F167" s="41">
        <f t="shared" si="17"/>
        <v>510</v>
      </c>
    </row>
    <row r="168" spans="1:6" ht="20.25" customHeight="1">
      <c r="A168" s="88"/>
      <c r="B168" s="138" t="s">
        <v>23</v>
      </c>
      <c r="C168" s="41"/>
      <c r="D168" s="118">
        <v>300</v>
      </c>
      <c r="E168" s="41"/>
      <c r="F168" s="41">
        <f t="shared" si="17"/>
        <v>300</v>
      </c>
    </row>
    <row r="169" spans="1:6" ht="21.75" customHeight="1">
      <c r="A169" s="88"/>
      <c r="B169" s="138" t="s">
        <v>337</v>
      </c>
      <c r="C169" s="41"/>
      <c r="D169" s="118">
        <v>2000</v>
      </c>
      <c r="E169" s="41"/>
      <c r="F169" s="41">
        <f t="shared" si="17"/>
        <v>2000</v>
      </c>
    </row>
    <row r="170" spans="1:6" ht="21" customHeight="1">
      <c r="A170" s="88"/>
      <c r="B170" s="138" t="s">
        <v>150</v>
      </c>
      <c r="C170" s="41"/>
      <c r="D170" s="118">
        <v>516</v>
      </c>
      <c r="E170" s="41"/>
      <c r="F170" s="41">
        <f t="shared" si="17"/>
        <v>516</v>
      </c>
    </row>
    <row r="171" spans="1:6" ht="21" customHeight="1">
      <c r="A171" s="88"/>
      <c r="B171" s="138" t="s">
        <v>126</v>
      </c>
      <c r="C171" s="41"/>
      <c r="D171" s="118">
        <v>700</v>
      </c>
      <c r="E171" s="41"/>
      <c r="F171" s="41">
        <f t="shared" si="17"/>
        <v>700</v>
      </c>
    </row>
    <row r="172" spans="1:6" ht="20.25" customHeight="1">
      <c r="A172" s="88"/>
      <c r="B172" s="138" t="s">
        <v>781</v>
      </c>
      <c r="C172" s="41"/>
      <c r="D172" s="118">
        <v>2585</v>
      </c>
      <c r="E172" s="41"/>
      <c r="F172" s="41">
        <f t="shared" si="17"/>
        <v>2585</v>
      </c>
    </row>
    <row r="173" spans="1:7" ht="18.75" customHeight="1">
      <c r="A173" s="88"/>
      <c r="B173" s="138" t="s">
        <v>787</v>
      </c>
      <c r="C173" s="41"/>
      <c r="D173" s="118">
        <v>120</v>
      </c>
      <c r="E173" s="41"/>
      <c r="F173" s="41">
        <f t="shared" si="17"/>
        <v>120</v>
      </c>
      <c r="G173" s="119"/>
    </row>
    <row r="174" spans="1:6" ht="15" customHeight="1">
      <c r="A174" s="88"/>
      <c r="B174" s="138" t="s">
        <v>780</v>
      </c>
      <c r="C174" s="41"/>
      <c r="D174" s="118">
        <v>2178</v>
      </c>
      <c r="E174" s="41"/>
      <c r="F174" s="41">
        <f t="shared" si="17"/>
        <v>2178</v>
      </c>
    </row>
    <row r="175" spans="1:6" ht="15" customHeight="1">
      <c r="A175" s="88"/>
      <c r="B175" s="46" t="s">
        <v>534</v>
      </c>
      <c r="C175" s="41"/>
      <c r="D175" s="118">
        <v>4350</v>
      </c>
      <c r="E175" s="41"/>
      <c r="F175" s="41">
        <f t="shared" si="17"/>
        <v>4350</v>
      </c>
    </row>
    <row r="176" spans="1:6" ht="15" customHeight="1">
      <c r="A176" s="88"/>
      <c r="B176" s="46" t="s">
        <v>82</v>
      </c>
      <c r="C176" s="41"/>
      <c r="D176" s="118">
        <v>3340</v>
      </c>
      <c r="E176" s="41"/>
      <c r="F176" s="41">
        <f t="shared" si="17"/>
        <v>3340</v>
      </c>
    </row>
    <row r="177" spans="1:6" ht="15" customHeight="1">
      <c r="A177" s="88"/>
      <c r="B177" s="46" t="s">
        <v>80</v>
      </c>
      <c r="C177" s="41"/>
      <c r="D177" s="118">
        <v>7829</v>
      </c>
      <c r="E177" s="41"/>
      <c r="F177" s="41">
        <f t="shared" si="17"/>
        <v>7829</v>
      </c>
    </row>
    <row r="178" spans="1:6" ht="15" customHeight="1">
      <c r="A178" s="88"/>
      <c r="B178" s="46" t="s">
        <v>155</v>
      </c>
      <c r="C178" s="41"/>
      <c r="D178" s="118">
        <v>130</v>
      </c>
      <c r="E178" s="41"/>
      <c r="F178" s="41">
        <f t="shared" si="17"/>
        <v>130</v>
      </c>
    </row>
    <row r="179" spans="1:6" ht="15" customHeight="1">
      <c r="A179" s="88"/>
      <c r="B179" s="46" t="s">
        <v>201</v>
      </c>
      <c r="C179" s="41"/>
      <c r="D179" s="118">
        <v>50</v>
      </c>
      <c r="E179" s="41"/>
      <c r="F179" s="41">
        <f t="shared" si="17"/>
        <v>50</v>
      </c>
    </row>
    <row r="180" spans="1:6" ht="15" customHeight="1">
      <c r="A180" s="88"/>
      <c r="B180" s="46" t="s">
        <v>308</v>
      </c>
      <c r="C180" s="41"/>
      <c r="D180" s="118">
        <v>50</v>
      </c>
      <c r="E180" s="41"/>
      <c r="F180" s="41">
        <f t="shared" si="17"/>
        <v>50</v>
      </c>
    </row>
    <row r="181" spans="1:6" ht="15" customHeight="1">
      <c r="A181" s="88"/>
      <c r="B181" s="46" t="s">
        <v>39</v>
      </c>
      <c r="C181" s="41"/>
      <c r="D181" s="118">
        <v>82</v>
      </c>
      <c r="E181" s="41"/>
      <c r="F181" s="41">
        <f t="shared" si="17"/>
        <v>82</v>
      </c>
    </row>
    <row r="182" spans="1:6" ht="15" customHeight="1">
      <c r="A182" s="88"/>
      <c r="B182" s="46" t="s">
        <v>40</v>
      </c>
      <c r="C182" s="41"/>
      <c r="D182" s="118">
        <v>350</v>
      </c>
      <c r="E182" s="41"/>
      <c r="F182" s="41">
        <f t="shared" si="17"/>
        <v>350</v>
      </c>
    </row>
    <row r="183" spans="1:6" ht="15" customHeight="1">
      <c r="A183" s="88"/>
      <c r="B183" s="46" t="s">
        <v>475</v>
      </c>
      <c r="C183" s="41"/>
      <c r="D183" s="118">
        <v>100</v>
      </c>
      <c r="E183" s="41"/>
      <c r="F183" s="41">
        <f t="shared" si="17"/>
        <v>100</v>
      </c>
    </row>
    <row r="184" spans="1:6" ht="15" customHeight="1">
      <c r="A184" s="88"/>
      <c r="B184" s="43" t="s">
        <v>200</v>
      </c>
      <c r="C184" s="41"/>
      <c r="D184" s="118">
        <v>25</v>
      </c>
      <c r="E184" s="41"/>
      <c r="F184" s="41">
        <f t="shared" si="17"/>
        <v>25</v>
      </c>
    </row>
    <row r="185" spans="1:6" ht="15" customHeight="1">
      <c r="A185" s="88"/>
      <c r="B185" s="43" t="s">
        <v>159</v>
      </c>
      <c r="C185" s="41"/>
      <c r="D185" s="118">
        <v>100</v>
      </c>
      <c r="E185" s="41"/>
      <c r="F185" s="41">
        <f t="shared" si="17"/>
        <v>100</v>
      </c>
    </row>
    <row r="186" spans="1:6" ht="15" customHeight="1">
      <c r="A186" s="88"/>
      <c r="B186" s="46" t="s">
        <v>207</v>
      </c>
      <c r="C186" s="41"/>
      <c r="D186" s="118">
        <v>50</v>
      </c>
      <c r="E186" s="41"/>
      <c r="F186" s="41">
        <f t="shared" si="17"/>
        <v>50</v>
      </c>
    </row>
    <row r="187" spans="1:6" ht="15" customHeight="1">
      <c r="A187" s="88"/>
      <c r="B187" s="46" t="s">
        <v>198</v>
      </c>
      <c r="C187" s="41"/>
      <c r="D187" s="118">
        <v>50</v>
      </c>
      <c r="E187" s="41"/>
      <c r="F187" s="41">
        <f t="shared" si="17"/>
        <v>50</v>
      </c>
    </row>
    <row r="188" spans="1:6" ht="15" customHeight="1">
      <c r="A188" s="88"/>
      <c r="B188" s="46" t="s">
        <v>218</v>
      </c>
      <c r="C188" s="41"/>
      <c r="D188" s="118">
        <v>157</v>
      </c>
      <c r="E188" s="41"/>
      <c r="F188" s="41">
        <f t="shared" si="17"/>
        <v>157</v>
      </c>
    </row>
    <row r="189" spans="1:6" ht="15" customHeight="1">
      <c r="A189" s="88"/>
      <c r="B189" s="46" t="s">
        <v>480</v>
      </c>
      <c r="C189" s="41"/>
      <c r="D189" s="118">
        <v>160</v>
      </c>
      <c r="E189" s="41"/>
      <c r="F189" s="41">
        <f t="shared" si="17"/>
        <v>160</v>
      </c>
    </row>
    <row r="190" spans="1:6" ht="15" customHeight="1">
      <c r="A190" s="88"/>
      <c r="B190" s="46" t="s">
        <v>535</v>
      </c>
      <c r="C190" s="41"/>
      <c r="D190" s="118">
        <v>100</v>
      </c>
      <c r="E190" s="41"/>
      <c r="F190" s="41">
        <f t="shared" si="17"/>
        <v>100</v>
      </c>
    </row>
    <row r="191" spans="1:6" ht="15" customHeight="1">
      <c r="A191" s="88"/>
      <c r="B191" s="46" t="s">
        <v>157</v>
      </c>
      <c r="C191" s="41"/>
      <c r="D191" s="118">
        <v>400</v>
      </c>
      <c r="E191" s="41"/>
      <c r="F191" s="41">
        <f t="shared" si="17"/>
        <v>400</v>
      </c>
    </row>
    <row r="192" spans="1:6" ht="15" customHeight="1">
      <c r="A192" s="88"/>
      <c r="B192" s="46" t="s">
        <v>156</v>
      </c>
      <c r="C192" s="41"/>
      <c r="D192" s="118">
        <v>200</v>
      </c>
      <c r="E192" s="41"/>
      <c r="F192" s="41">
        <f t="shared" si="17"/>
        <v>200</v>
      </c>
    </row>
    <row r="193" spans="1:6" ht="15" customHeight="1">
      <c r="A193" s="88"/>
      <c r="B193" s="46" t="s">
        <v>140</v>
      </c>
      <c r="C193" s="41"/>
      <c r="D193" s="118">
        <v>250</v>
      </c>
      <c r="E193" s="41"/>
      <c r="F193" s="41">
        <f t="shared" si="17"/>
        <v>250</v>
      </c>
    </row>
    <row r="194" spans="1:6" ht="18.75" customHeight="1">
      <c r="A194" s="88"/>
      <c r="B194" s="46" t="s">
        <v>160</v>
      </c>
      <c r="C194" s="41"/>
      <c r="D194" s="118">
        <v>200</v>
      </c>
      <c r="E194" s="41"/>
      <c r="F194" s="41">
        <f t="shared" si="17"/>
        <v>200</v>
      </c>
    </row>
    <row r="195" spans="1:6" ht="31.5" customHeight="1">
      <c r="A195" s="88"/>
      <c r="B195" s="46" t="s">
        <v>786</v>
      </c>
      <c r="C195" s="41"/>
      <c r="D195" s="118">
        <v>9000</v>
      </c>
      <c r="E195" s="41"/>
      <c r="F195" s="41">
        <f t="shared" si="17"/>
        <v>9000</v>
      </c>
    </row>
    <row r="196" spans="1:6" ht="31.5" customHeight="1">
      <c r="A196" s="88"/>
      <c r="B196" s="46" t="s">
        <v>713</v>
      </c>
      <c r="C196" s="41"/>
      <c r="D196" s="118">
        <v>2500</v>
      </c>
      <c r="E196" s="41"/>
      <c r="F196" s="41">
        <f t="shared" si="18" ref="F196">=D196</f>
        <v>2500</v>
      </c>
    </row>
    <row r="197" spans="1:6" ht="15" customHeight="1">
      <c r="A197" s="88"/>
      <c r="B197" s="46" t="s">
        <v>48</v>
      </c>
      <c r="C197" s="41"/>
      <c r="D197" s="118">
        <v>15072</v>
      </c>
      <c r="E197" s="41"/>
      <c r="F197" s="41">
        <f t="shared" si="17"/>
        <v>15072</v>
      </c>
    </row>
    <row r="198" spans="1:6" ht="15" customHeight="1">
      <c r="A198" s="88"/>
      <c r="B198" s="46" t="s">
        <v>744</v>
      </c>
      <c r="C198" s="41"/>
      <c r="D198" s="118">
        <v>1400</v>
      </c>
      <c r="E198" s="41"/>
      <c r="F198" s="41">
        <f t="shared" si="17"/>
        <v>1400</v>
      </c>
    </row>
    <row r="199" spans="1:6" ht="15" customHeight="1">
      <c r="A199" s="88"/>
      <c r="B199" s="46" t="s">
        <v>789</v>
      </c>
      <c r="C199" s="41"/>
      <c r="D199" s="118">
        <v>1332</v>
      </c>
      <c r="E199" s="41"/>
      <c r="F199" s="41">
        <f t="shared" si="17"/>
        <v>1332</v>
      </c>
    </row>
    <row r="200" spans="1:6" ht="15" customHeight="1">
      <c r="A200" s="88"/>
      <c r="B200" s="46" t="s">
        <v>174</v>
      </c>
      <c r="C200" s="41"/>
      <c r="D200" s="109">
        <v>500</v>
      </c>
      <c r="E200" s="41"/>
      <c r="F200" s="41">
        <f t="shared" si="17"/>
        <v>500</v>
      </c>
    </row>
    <row r="201" spans="1:6" ht="15" customHeight="1">
      <c r="A201" s="88"/>
      <c r="B201" s="46" t="s">
        <v>164</v>
      </c>
      <c r="C201" s="41"/>
      <c r="D201" s="118">
        <v>150</v>
      </c>
      <c r="E201" s="41"/>
      <c r="F201" s="41">
        <f t="shared" si="17"/>
        <v>150</v>
      </c>
    </row>
    <row r="202" spans="1:6" ht="15" customHeight="1">
      <c r="A202" s="88"/>
      <c r="B202" s="46" t="s">
        <v>790</v>
      </c>
      <c r="C202" s="41"/>
      <c r="D202" s="118">
        <v>2201</v>
      </c>
      <c r="E202" s="41"/>
      <c r="F202" s="41">
        <f t="shared" si="17"/>
        <v>2201</v>
      </c>
    </row>
    <row r="203" spans="1:6" ht="15" customHeight="1">
      <c r="A203" s="88"/>
      <c r="B203" s="46" t="s">
        <v>176</v>
      </c>
      <c r="C203" s="41"/>
      <c r="D203" s="118">
        <v>1000</v>
      </c>
      <c r="E203" s="41"/>
      <c r="F203" s="41">
        <f t="shared" si="17"/>
        <v>1000</v>
      </c>
    </row>
    <row r="204" spans="1:6" ht="15" customHeight="1">
      <c r="A204" s="88"/>
      <c r="B204" s="46" t="s">
        <v>325</v>
      </c>
      <c r="C204" s="41"/>
      <c r="D204" s="118">
        <v>552</v>
      </c>
      <c r="E204" s="41"/>
      <c r="F204" s="41">
        <f t="shared" si="17"/>
        <v>552</v>
      </c>
    </row>
    <row r="205" spans="1:6" ht="17.25" customHeight="1">
      <c r="A205" s="88"/>
      <c r="B205" s="46" t="s">
        <v>788</v>
      </c>
      <c r="C205" s="41"/>
      <c r="D205" s="118">
        <v>2384</v>
      </c>
      <c r="E205" s="41"/>
      <c r="F205" s="41">
        <f t="shared" si="17"/>
        <v>2384</v>
      </c>
    </row>
    <row r="206" spans="1:6" ht="15" customHeight="1">
      <c r="A206" s="88"/>
      <c r="B206" s="46" t="s">
        <v>186</v>
      </c>
      <c r="C206" s="41"/>
      <c r="D206" s="118">
        <v>2257</v>
      </c>
      <c r="E206" s="41"/>
      <c r="F206" s="41">
        <f t="shared" si="17"/>
        <v>2257</v>
      </c>
    </row>
    <row r="207" spans="1:6" ht="15" customHeight="1">
      <c r="A207" s="88"/>
      <c r="B207" s="46" t="s">
        <v>776</v>
      </c>
      <c r="C207" s="41"/>
      <c r="D207" s="118">
        <v>2700</v>
      </c>
      <c r="E207" s="41"/>
      <c r="F207" s="41">
        <f>D207</f>
        <v>2700</v>
      </c>
    </row>
    <row r="208" spans="1:8" ht="15" customHeight="1">
      <c r="A208" s="85" t="s">
        <v>536</v>
      </c>
      <c r="B208" s="85" t="s">
        <v>537</v>
      </c>
      <c r="C208" s="86"/>
      <c r="D208" s="86">
        <f>SUM(D209:D213)</f>
        <v>2526</v>
      </c>
      <c r="E208" s="86"/>
      <c r="F208" s="86">
        <f t="shared" si="19" ref="F208:F213">=D208</f>
        <v>2526</v>
      </c>
      <c r="G208" s="92"/>
      <c r="H208" s="93"/>
    </row>
    <row r="209" spans="1:8" s="93" customFormat="1" ht="15" customHeight="1">
      <c r="A209" s="88"/>
      <c r="B209" s="43" t="s">
        <v>519</v>
      </c>
      <c r="C209" s="41"/>
      <c r="D209" s="118">
        <v>800</v>
      </c>
      <c r="E209" s="41"/>
      <c r="F209" s="41">
        <f t="shared" si="19"/>
        <v>800</v>
      </c>
      <c r="G209" s="78"/>
      <c r="H209" s="66"/>
    </row>
    <row r="210" spans="1:8" s="93" customFormat="1" ht="15" customHeight="1">
      <c r="A210" s="88"/>
      <c r="B210" s="43" t="s">
        <v>791</v>
      </c>
      <c r="C210" s="41"/>
      <c r="D210" s="41">
        <v>25</v>
      </c>
      <c r="E210" s="41"/>
      <c r="F210" s="41">
        <f t="shared" si="19"/>
        <v>25</v>
      </c>
      <c r="G210" s="78"/>
      <c r="H210" s="66"/>
    </row>
    <row r="211" spans="1:8" s="96" customFormat="1" ht="29.25" customHeight="1">
      <c r="A211" s="88"/>
      <c r="B211" s="111" t="s">
        <v>793</v>
      </c>
      <c r="C211" s="41"/>
      <c r="D211" s="41">
        <v>1050</v>
      </c>
      <c r="E211" s="41"/>
      <c r="F211" s="41">
        <f t="shared" si="19"/>
        <v>1050</v>
      </c>
      <c r="G211" s="78"/>
      <c r="H211" s="66"/>
    </row>
    <row r="212" spans="1:6" ht="30.75" customHeight="1">
      <c r="A212" s="88"/>
      <c r="B212" s="111" t="s">
        <v>792</v>
      </c>
      <c r="C212" s="41"/>
      <c r="D212" s="118">
        <v>255</v>
      </c>
      <c r="E212" s="41"/>
      <c r="F212" s="41">
        <f t="shared" si="19"/>
        <v>255</v>
      </c>
    </row>
    <row r="213" spans="1:6" ht="15" customHeight="1">
      <c r="A213" s="88"/>
      <c r="B213" s="112" t="s">
        <v>794</v>
      </c>
      <c r="C213" s="41"/>
      <c r="D213" s="41">
        <v>396</v>
      </c>
      <c r="E213" s="41"/>
      <c r="F213" s="41">
        <f t="shared" si="19"/>
        <v>396</v>
      </c>
    </row>
    <row r="214" spans="1:8" ht="15" customHeight="1">
      <c r="A214" s="85" t="s">
        <v>540</v>
      </c>
      <c r="B214" s="113" t="s">
        <v>541</v>
      </c>
      <c r="C214" s="86"/>
      <c r="D214" s="86">
        <v>350000</v>
      </c>
      <c r="E214" s="86"/>
      <c r="F214" s="86">
        <f t="shared" si="20" ref="F214:F235">=D214</f>
        <v>350000</v>
      </c>
      <c r="G214" s="92"/>
      <c r="H214" s="93"/>
    </row>
    <row r="215" spans="1:8" ht="15" customHeight="1">
      <c r="A215" s="85" t="s">
        <v>542</v>
      </c>
      <c r="B215" s="113" t="s">
        <v>543</v>
      </c>
      <c r="C215" s="86"/>
      <c r="D215" s="86">
        <f>SUM(D216:D235)</f>
        <v>63196</v>
      </c>
      <c r="E215" s="86"/>
      <c r="F215" s="86">
        <f t="shared" si="20"/>
        <v>63196</v>
      </c>
      <c r="G215" s="92"/>
      <c r="H215" s="93"/>
    </row>
    <row r="216" spans="1:8" ht="15" customHeight="1">
      <c r="A216" s="88"/>
      <c r="B216" s="111" t="s">
        <v>564</v>
      </c>
      <c r="C216" s="41"/>
      <c r="D216" s="41">
        <v>17000</v>
      </c>
      <c r="E216" s="41"/>
      <c r="F216" s="41">
        <f t="shared" si="21" ref="F216:F221">=D216</f>
        <v>17000</v>
      </c>
      <c r="G216" s="95"/>
      <c r="H216" s="96"/>
    </row>
    <row r="217" spans="1:6" ht="15" customHeight="1">
      <c r="A217" s="88"/>
      <c r="B217" s="112" t="s">
        <v>776</v>
      </c>
      <c r="C217" s="41"/>
      <c r="D217" s="118">
        <v>11923</v>
      </c>
      <c r="E217" s="41"/>
      <c r="F217" s="41">
        <f t="shared" si="21"/>
        <v>11923</v>
      </c>
    </row>
    <row r="218" spans="1:6" ht="31.9" customHeight="1">
      <c r="A218" s="88"/>
      <c r="B218" s="111" t="s">
        <v>795</v>
      </c>
      <c r="C218" s="41"/>
      <c r="D218" s="118">
        <v>3179</v>
      </c>
      <c r="E218" s="41"/>
      <c r="F218" s="41">
        <f t="shared" si="21"/>
        <v>3179</v>
      </c>
    </row>
    <row r="219" spans="1:6" ht="15" customHeight="1">
      <c r="A219" s="88"/>
      <c r="B219" s="112" t="s">
        <v>452</v>
      </c>
      <c r="C219" s="41"/>
      <c r="D219" s="118">
        <v>5534</v>
      </c>
      <c r="E219" s="41"/>
      <c r="F219" s="41">
        <f t="shared" si="21"/>
        <v>5534</v>
      </c>
    </row>
    <row r="220" spans="1:6" ht="15" customHeight="1">
      <c r="A220" s="88"/>
      <c r="B220" s="112" t="s">
        <v>3</v>
      </c>
      <c r="C220" s="41"/>
      <c r="D220" s="41">
        <v>115</v>
      </c>
      <c r="E220" s="41"/>
      <c r="F220" s="41">
        <f t="shared" si="21"/>
        <v>115</v>
      </c>
    </row>
    <row r="221" spans="1:6" ht="30.75" customHeight="1">
      <c r="A221" s="88"/>
      <c r="B221" s="111" t="s">
        <v>7</v>
      </c>
      <c r="C221" s="41"/>
      <c r="D221" s="118">
        <v>85</v>
      </c>
      <c r="E221" s="41"/>
      <c r="F221" s="41">
        <f t="shared" si="21"/>
        <v>85</v>
      </c>
    </row>
    <row r="222" spans="1:6" ht="15" customHeight="1">
      <c r="A222" s="88"/>
      <c r="B222" s="112" t="s">
        <v>138</v>
      </c>
      <c r="C222" s="41"/>
      <c r="D222" s="109">
        <v>1200</v>
      </c>
      <c r="E222" s="41"/>
      <c r="F222" s="41">
        <f t="shared" si="20"/>
        <v>1200</v>
      </c>
    </row>
    <row r="223" spans="1:6" ht="30" customHeight="1">
      <c r="A223" s="88"/>
      <c r="B223" s="111" t="s">
        <v>10</v>
      </c>
      <c r="C223" s="41"/>
      <c r="D223" s="109">
        <v>500</v>
      </c>
      <c r="E223" s="41"/>
      <c r="F223" s="41">
        <f t="shared" si="20"/>
        <v>500</v>
      </c>
    </row>
    <row r="224" spans="1:6" ht="15" customHeight="1">
      <c r="A224" s="88"/>
      <c r="B224" s="112" t="s">
        <v>12</v>
      </c>
      <c r="C224" s="41"/>
      <c r="D224" s="109">
        <v>67</v>
      </c>
      <c r="E224" s="41"/>
      <c r="F224" s="41">
        <f t="shared" si="20"/>
        <v>67</v>
      </c>
    </row>
    <row r="225" spans="1:6" ht="15" customHeight="1">
      <c r="A225" s="88"/>
      <c r="B225" s="112" t="s">
        <v>796</v>
      </c>
      <c r="C225" s="41"/>
      <c r="D225" s="109">
        <v>897</v>
      </c>
      <c r="E225" s="41"/>
      <c r="F225" s="41">
        <f t="shared" si="20"/>
        <v>897</v>
      </c>
    </row>
    <row r="226" spans="1:6" ht="15" customHeight="1">
      <c r="A226" s="88"/>
      <c r="B226" s="112" t="s">
        <v>23</v>
      </c>
      <c r="C226" s="41"/>
      <c r="D226" s="118">
        <v>2191</v>
      </c>
      <c r="E226" s="41"/>
      <c r="F226" s="41">
        <f t="shared" si="20"/>
        <v>2191</v>
      </c>
    </row>
    <row r="227" spans="1:6" ht="15" customHeight="1">
      <c r="A227" s="88"/>
      <c r="B227" s="112" t="s">
        <v>337</v>
      </c>
      <c r="C227" s="41"/>
      <c r="D227" s="118">
        <v>850</v>
      </c>
      <c r="E227" s="41"/>
      <c r="F227" s="41">
        <f t="shared" si="20"/>
        <v>850</v>
      </c>
    </row>
    <row r="228" spans="1:6" ht="34.9" customHeight="1">
      <c r="A228" s="88"/>
      <c r="B228" s="111" t="s">
        <v>150</v>
      </c>
      <c r="C228" s="41"/>
      <c r="D228" s="118">
        <v>1825</v>
      </c>
      <c r="E228" s="41"/>
      <c r="F228" s="41">
        <f t="shared" si="20"/>
        <v>1825</v>
      </c>
    </row>
    <row r="229" spans="1:6" ht="20.25" customHeight="1">
      <c r="A229" s="88"/>
      <c r="B229" s="112" t="s">
        <v>149</v>
      </c>
      <c r="C229" s="41"/>
      <c r="D229" s="118">
        <v>3590</v>
      </c>
      <c r="E229" s="41"/>
      <c r="F229" s="41">
        <f t="shared" si="20"/>
        <v>3590</v>
      </c>
    </row>
    <row r="230" spans="1:6" ht="15" customHeight="1">
      <c r="A230" s="88"/>
      <c r="B230" s="112" t="s">
        <v>339</v>
      </c>
      <c r="C230" s="41"/>
      <c r="D230" s="118">
        <v>240</v>
      </c>
      <c r="E230" s="41"/>
      <c r="F230" s="41">
        <f t="shared" si="20"/>
        <v>240</v>
      </c>
    </row>
    <row r="231" spans="1:6" ht="15" customHeight="1">
      <c r="A231" s="88"/>
      <c r="B231" s="111" t="s">
        <v>199</v>
      </c>
      <c r="C231" s="41"/>
      <c r="D231" s="118">
        <v>200</v>
      </c>
      <c r="E231" s="41"/>
      <c r="F231" s="41">
        <f t="shared" si="20"/>
        <v>200</v>
      </c>
    </row>
    <row r="232" spans="1:6" ht="15" customHeight="1">
      <c r="A232" s="88"/>
      <c r="B232" s="112" t="s">
        <v>121</v>
      </c>
      <c r="C232" s="41"/>
      <c r="D232" s="118">
        <v>7500</v>
      </c>
      <c r="E232" s="41"/>
      <c r="F232" s="41">
        <f t="shared" si="20"/>
        <v>7500</v>
      </c>
    </row>
    <row r="233" spans="1:6" ht="15" customHeight="1">
      <c r="A233" s="88"/>
      <c r="B233" s="112" t="s">
        <v>127</v>
      </c>
      <c r="C233" s="41"/>
      <c r="D233" s="118">
        <v>1000</v>
      </c>
      <c r="E233" s="41"/>
      <c r="F233" s="41">
        <f t="shared" si="20"/>
        <v>1000</v>
      </c>
    </row>
    <row r="234" spans="1:6" ht="14.25" customHeight="1">
      <c r="A234" s="88"/>
      <c r="B234" s="112" t="s">
        <v>122</v>
      </c>
      <c r="C234" s="41"/>
      <c r="D234" s="118">
        <v>2100</v>
      </c>
      <c r="E234" s="41"/>
      <c r="F234" s="41">
        <f t="shared" si="20"/>
        <v>2100</v>
      </c>
    </row>
    <row r="235" spans="1:6" ht="15" customHeight="1">
      <c r="A235" s="88"/>
      <c r="B235" s="112" t="s">
        <v>544</v>
      </c>
      <c r="C235" s="41"/>
      <c r="D235" s="118">
        <v>3200</v>
      </c>
      <c r="E235" s="41"/>
      <c r="F235" s="41">
        <f t="shared" si="20"/>
        <v>3200</v>
      </c>
    </row>
    <row r="236" spans="1:9" s="93" customFormat="1" ht="32.25" customHeight="1">
      <c r="A236" s="85" t="s">
        <v>545</v>
      </c>
      <c r="B236" s="114" t="s">
        <v>546</v>
      </c>
      <c r="C236" s="86"/>
      <c r="D236" s="86">
        <f>D237+D244+D254+D277+D359+D361</f>
        <v>4236803</v>
      </c>
      <c r="E236" s="41"/>
      <c r="F236" s="86">
        <f t="shared" si="22" ref="F236:F242">=D236</f>
        <v>4236803</v>
      </c>
      <c r="G236" s="78"/>
      <c r="H236" s="66"/>
      <c r="I236" s="66"/>
    </row>
    <row r="237" spans="1:9" ht="32.25" customHeight="1">
      <c r="A237" s="85" t="s">
        <v>547</v>
      </c>
      <c r="B237" s="114" t="s">
        <v>548</v>
      </c>
      <c r="C237" s="86"/>
      <c r="D237" s="86">
        <f>SUM(D238:D243)</f>
        <v>1718129</v>
      </c>
      <c r="E237" s="86"/>
      <c r="F237" s="86">
        <f t="shared" si="22"/>
        <v>1718129</v>
      </c>
      <c r="I237" s="93"/>
    </row>
    <row r="238" spans="1:6" ht="15" customHeight="1">
      <c r="A238" s="88"/>
      <c r="B238" s="111" t="s">
        <v>53</v>
      </c>
      <c r="C238" s="41"/>
      <c r="D238" s="41">
        <v>1161994</v>
      </c>
      <c r="E238" s="41"/>
      <c r="F238" s="41">
        <f t="shared" si="22"/>
        <v>1161994</v>
      </c>
    </row>
    <row r="239" spans="1:6" ht="15" customHeight="1">
      <c r="A239" s="88"/>
      <c r="B239" s="111" t="s">
        <v>84</v>
      </c>
      <c r="C239" s="41"/>
      <c r="D239" s="41">
        <v>10796</v>
      </c>
      <c r="E239" s="41"/>
      <c r="F239" s="41">
        <f t="shared" si="22"/>
        <v>10796</v>
      </c>
    </row>
    <row r="240" spans="1:6" ht="15" customHeight="1">
      <c r="A240" s="88"/>
      <c r="B240" s="111" t="s">
        <v>510</v>
      </c>
      <c r="C240" s="41"/>
      <c r="D240" s="42">
        <v>164000</v>
      </c>
      <c r="E240" s="41"/>
      <c r="F240" s="41">
        <f t="shared" si="22"/>
        <v>164000</v>
      </c>
    </row>
    <row r="241" spans="1:6" ht="15" customHeight="1">
      <c r="A241" s="88"/>
      <c r="B241" s="138" t="s">
        <v>130</v>
      </c>
      <c r="C241" s="41"/>
      <c r="D241" s="41">
        <v>215220</v>
      </c>
      <c r="E241" s="41"/>
      <c r="F241" s="41">
        <f t="shared" si="22"/>
        <v>215220</v>
      </c>
    </row>
    <row r="242" spans="1:6" ht="15" customHeight="1">
      <c r="A242" s="88"/>
      <c r="B242" s="138" t="s">
        <v>131</v>
      </c>
      <c r="C242" s="41"/>
      <c r="D242" s="118">
        <v>155308</v>
      </c>
      <c r="E242" s="41"/>
      <c r="F242" s="41">
        <f t="shared" si="22"/>
        <v>155308</v>
      </c>
    </row>
    <row r="243" spans="1:6" ht="15" customHeight="1">
      <c r="A243" s="88"/>
      <c r="B243" s="46" t="s">
        <v>452</v>
      </c>
      <c r="C243" s="41"/>
      <c r="D243" s="41">
        <v>10811</v>
      </c>
      <c r="E243" s="41"/>
      <c r="F243" s="41">
        <f>D243</f>
        <v>10811</v>
      </c>
    </row>
    <row r="244" spans="1:9" s="93" customFormat="1" ht="29.25" customHeight="1">
      <c r="A244" s="85" t="s">
        <v>549</v>
      </c>
      <c r="B244" s="91" t="s">
        <v>550</v>
      </c>
      <c r="C244" s="86"/>
      <c r="D244" s="115">
        <f>SUM(D245:D253)</f>
        <v>510</v>
      </c>
      <c r="E244" s="86"/>
      <c r="F244" s="86">
        <f t="shared" si="23" ref="F244:F252">=D244</f>
        <v>510</v>
      </c>
      <c r="G244" s="92"/>
      <c r="H244" s="66"/>
      <c r="I244" s="66"/>
    </row>
    <row r="245" spans="1:9" ht="15" customHeight="1">
      <c r="A245" s="88"/>
      <c r="B245" s="46" t="s">
        <v>30</v>
      </c>
      <c r="C245" s="41"/>
      <c r="D245" s="118">
        <v>150</v>
      </c>
      <c r="E245" s="41"/>
      <c r="F245" s="41">
        <f t="shared" si="23"/>
        <v>150</v>
      </c>
      <c r="H245" s="93"/>
      <c r="I245" s="93"/>
    </row>
    <row r="246" spans="1:6" ht="15" customHeight="1">
      <c r="A246" s="88"/>
      <c r="B246" s="46" t="s">
        <v>551</v>
      </c>
      <c r="C246" s="41"/>
      <c r="D246" s="118">
        <v>50</v>
      </c>
      <c r="E246" s="41"/>
      <c r="F246" s="41">
        <f t="shared" si="23"/>
        <v>50</v>
      </c>
    </row>
    <row r="247" spans="1:6" ht="15" customHeight="1">
      <c r="A247" s="88"/>
      <c r="B247" s="46" t="s">
        <v>153</v>
      </c>
      <c r="C247" s="41"/>
      <c r="D247" s="118">
        <v>10</v>
      </c>
      <c r="E247" s="41"/>
      <c r="F247" s="41">
        <f t="shared" si="23"/>
        <v>10</v>
      </c>
    </row>
    <row r="248" spans="1:6" ht="15" customHeight="1">
      <c r="A248" s="88"/>
      <c r="B248" s="46" t="s">
        <v>552</v>
      </c>
      <c r="C248" s="41"/>
      <c r="D248" s="118">
        <v>50</v>
      </c>
      <c r="E248" s="41"/>
      <c r="F248" s="41">
        <f t="shared" si="23"/>
        <v>50</v>
      </c>
    </row>
    <row r="249" spans="1:6" ht="15" customHeight="1">
      <c r="A249" s="88"/>
      <c r="B249" s="46" t="s">
        <v>493</v>
      </c>
      <c r="C249" s="41"/>
      <c r="D249" s="118">
        <v>50</v>
      </c>
      <c r="E249" s="41"/>
      <c r="F249" s="41">
        <f t="shared" si="23"/>
        <v>50</v>
      </c>
    </row>
    <row r="250" spans="1:6" ht="15" customHeight="1">
      <c r="A250" s="88"/>
      <c r="B250" s="46" t="s">
        <v>553</v>
      </c>
      <c r="C250" s="41"/>
      <c r="D250" s="118">
        <v>50</v>
      </c>
      <c r="E250" s="41"/>
      <c r="F250" s="41">
        <f t="shared" si="23"/>
        <v>50</v>
      </c>
    </row>
    <row r="251" spans="1:6" ht="15" customHeight="1">
      <c r="A251" s="88"/>
      <c r="B251" s="46" t="s">
        <v>128</v>
      </c>
      <c r="C251" s="41"/>
      <c r="D251" s="118">
        <v>50</v>
      </c>
      <c r="E251" s="41"/>
      <c r="F251" s="41">
        <f t="shared" si="23"/>
        <v>50</v>
      </c>
    </row>
    <row r="252" spans="1:6" ht="15" customHeight="1">
      <c r="A252" s="88"/>
      <c r="B252" s="46" t="s">
        <v>554</v>
      </c>
      <c r="C252" s="41"/>
      <c r="D252" s="118">
        <v>50</v>
      </c>
      <c r="E252" s="41"/>
      <c r="F252" s="41">
        <f t="shared" si="23"/>
        <v>50</v>
      </c>
    </row>
    <row r="253" spans="1:6" ht="15" customHeight="1">
      <c r="A253" s="88"/>
      <c r="B253" s="46" t="s">
        <v>555</v>
      </c>
      <c r="C253" s="41"/>
      <c r="D253" s="118">
        <v>50</v>
      </c>
      <c r="E253" s="41"/>
      <c r="F253" s="41">
        <f>D253</f>
        <v>50</v>
      </c>
    </row>
    <row r="254" spans="1:7" ht="15" customHeight="1">
      <c r="A254" s="85" t="s">
        <v>556</v>
      </c>
      <c r="B254" s="85" t="s">
        <v>557</v>
      </c>
      <c r="C254" s="86"/>
      <c r="D254" s="115">
        <f>SUM(D255:D276)</f>
        <v>81938</v>
      </c>
      <c r="E254" s="86"/>
      <c r="F254" s="86">
        <f t="shared" si="24" ref="F254:F275">=D254</f>
        <v>81938</v>
      </c>
      <c r="G254" s="92"/>
    </row>
    <row r="255" spans="1:8" ht="15" customHeight="1">
      <c r="A255" s="88"/>
      <c r="B255" s="43" t="s">
        <v>797</v>
      </c>
      <c r="C255" s="41"/>
      <c r="D255" s="118">
        <v>37736</v>
      </c>
      <c r="E255" s="41"/>
      <c r="F255" s="41">
        <f t="shared" si="24"/>
        <v>37736</v>
      </c>
      <c r="H255" s="93"/>
    </row>
    <row r="256" spans="1:6" ht="15" customHeight="1">
      <c r="A256" s="88"/>
      <c r="B256" s="43" t="s">
        <v>798</v>
      </c>
      <c r="C256" s="41"/>
      <c r="D256" s="118">
        <v>1800</v>
      </c>
      <c r="E256" s="41"/>
      <c r="F256" s="41">
        <f t="shared" si="24"/>
        <v>1800</v>
      </c>
    </row>
    <row r="257" spans="1:6" ht="15" customHeight="1">
      <c r="A257" s="88"/>
      <c r="B257" s="43" t="s">
        <v>558</v>
      </c>
      <c r="C257" s="41"/>
      <c r="D257" s="118">
        <v>2800</v>
      </c>
      <c r="E257" s="41"/>
      <c r="F257" s="41">
        <f t="shared" si="24"/>
        <v>2800</v>
      </c>
    </row>
    <row r="258" spans="1:6" ht="15" customHeight="1">
      <c r="A258" s="88"/>
      <c r="B258" s="43" t="s">
        <v>308</v>
      </c>
      <c r="C258" s="41"/>
      <c r="D258" s="118">
        <v>400</v>
      </c>
      <c r="E258" s="41"/>
      <c r="F258" s="41">
        <f t="shared" si="24"/>
        <v>400</v>
      </c>
    </row>
    <row r="259" spans="1:6" ht="15" customHeight="1">
      <c r="A259" s="88"/>
      <c r="B259" s="43" t="s">
        <v>39</v>
      </c>
      <c r="C259" s="41"/>
      <c r="D259" s="118">
        <v>200</v>
      </c>
      <c r="E259" s="41"/>
      <c r="F259" s="41">
        <f t="shared" si="24"/>
        <v>200</v>
      </c>
    </row>
    <row r="260" spans="1:6" ht="15" customHeight="1">
      <c r="A260" s="88"/>
      <c r="B260" s="43" t="s">
        <v>559</v>
      </c>
      <c r="C260" s="41"/>
      <c r="D260" s="118">
        <v>2467</v>
      </c>
      <c r="E260" s="41"/>
      <c r="F260" s="41">
        <f t="shared" si="24"/>
        <v>2467</v>
      </c>
    </row>
    <row r="261" spans="1:6" ht="15" customHeight="1">
      <c r="A261" s="88"/>
      <c r="B261" s="43" t="s">
        <v>475</v>
      </c>
      <c r="C261" s="41"/>
      <c r="D261" s="118">
        <v>6000</v>
      </c>
      <c r="E261" s="41"/>
      <c r="F261" s="41">
        <f t="shared" si="24"/>
        <v>6000</v>
      </c>
    </row>
    <row r="262" spans="1:6" ht="15" customHeight="1">
      <c r="A262" s="88"/>
      <c r="B262" s="43" t="s">
        <v>695</v>
      </c>
      <c r="C262" s="41"/>
      <c r="D262" s="118">
        <v>200</v>
      </c>
      <c r="E262" s="41"/>
      <c r="F262" s="41">
        <f t="shared" si="24"/>
        <v>200</v>
      </c>
    </row>
    <row r="263" spans="1:6" ht="15" customHeight="1">
      <c r="A263" s="88"/>
      <c r="B263" s="43" t="s">
        <v>159</v>
      </c>
      <c r="C263" s="41"/>
      <c r="D263" s="118">
        <v>4900</v>
      </c>
      <c r="E263" s="41"/>
      <c r="F263" s="41">
        <f t="shared" si="24"/>
        <v>4900</v>
      </c>
    </row>
    <row r="264" spans="1:6" ht="15" customHeight="1">
      <c r="A264" s="88"/>
      <c r="B264" s="43" t="s">
        <v>207</v>
      </c>
      <c r="C264" s="41"/>
      <c r="D264" s="118">
        <v>560</v>
      </c>
      <c r="E264" s="41"/>
      <c r="F264" s="41">
        <f t="shared" si="24"/>
        <v>560</v>
      </c>
    </row>
    <row r="265" spans="1:6" ht="15" customHeight="1">
      <c r="A265" s="88"/>
      <c r="B265" s="43" t="s">
        <v>761</v>
      </c>
      <c r="C265" s="41"/>
      <c r="D265" s="118">
        <v>50</v>
      </c>
      <c r="E265" s="41"/>
      <c r="F265" s="41">
        <f t="shared" si="24"/>
        <v>50</v>
      </c>
    </row>
    <row r="266" spans="1:6" ht="15" customHeight="1">
      <c r="A266" s="88"/>
      <c r="B266" s="43" t="s">
        <v>560</v>
      </c>
      <c r="C266" s="41"/>
      <c r="D266" s="118">
        <v>2500</v>
      </c>
      <c r="E266" s="41"/>
      <c r="F266" s="41">
        <f t="shared" si="24"/>
        <v>2500</v>
      </c>
    </row>
    <row r="267" spans="1:9" s="93" customFormat="1" ht="24" customHeight="1">
      <c r="A267" s="88"/>
      <c r="B267" s="43" t="s">
        <v>218</v>
      </c>
      <c r="C267" s="41"/>
      <c r="D267" s="118">
        <v>2740</v>
      </c>
      <c r="E267" s="41"/>
      <c r="F267" s="41">
        <f t="shared" si="24"/>
        <v>2740</v>
      </c>
      <c r="G267" s="78"/>
      <c r="H267" s="66"/>
      <c r="I267" s="66"/>
    </row>
    <row r="268" spans="1:8" s="93" customFormat="1" ht="15" customHeight="1">
      <c r="A268" s="88"/>
      <c r="B268" s="43" t="s">
        <v>480</v>
      </c>
      <c r="C268" s="41"/>
      <c r="D268" s="118">
        <v>765</v>
      </c>
      <c r="E268" s="41"/>
      <c r="F268" s="41">
        <f t="shared" si="24"/>
        <v>765</v>
      </c>
      <c r="G268" s="78"/>
      <c r="H268" s="66"/>
    </row>
    <row r="269" spans="1:9" s="96" customFormat="1" ht="15" customHeight="1">
      <c r="A269" s="88"/>
      <c r="B269" s="43" t="s">
        <v>41</v>
      </c>
      <c r="C269" s="41"/>
      <c r="D269" s="118">
        <v>500</v>
      </c>
      <c r="E269" s="41"/>
      <c r="F269" s="41">
        <f t="shared" si="24"/>
        <v>500</v>
      </c>
      <c r="G269" s="78"/>
      <c r="H269" s="66"/>
      <c r="I269" s="93"/>
    </row>
    <row r="270" spans="1:9" ht="24.75" customHeight="1">
      <c r="A270" s="88"/>
      <c r="B270" s="43" t="s">
        <v>157</v>
      </c>
      <c r="C270" s="41"/>
      <c r="D270" s="118">
        <v>9200</v>
      </c>
      <c r="E270" s="41"/>
      <c r="F270" s="41">
        <f t="shared" si="24"/>
        <v>9200</v>
      </c>
      <c r="I270" s="96"/>
    </row>
    <row r="271" spans="1:6" ht="15" customHeight="1">
      <c r="A271" s="88"/>
      <c r="B271" s="43" t="s">
        <v>156</v>
      </c>
      <c r="C271" s="41"/>
      <c r="D271" s="118">
        <v>3500</v>
      </c>
      <c r="E271" s="41"/>
      <c r="F271" s="41">
        <f t="shared" si="24"/>
        <v>3500</v>
      </c>
    </row>
    <row r="272" spans="1:6" ht="15" customHeight="1">
      <c r="A272" s="88"/>
      <c r="B272" s="43" t="s">
        <v>82</v>
      </c>
      <c r="C272" s="41"/>
      <c r="D272" s="118">
        <v>1800</v>
      </c>
      <c r="E272" s="41"/>
      <c r="F272" s="41">
        <f t="shared" si="24"/>
        <v>1800</v>
      </c>
    </row>
    <row r="273" spans="1:6" ht="15" customHeight="1">
      <c r="A273" s="88"/>
      <c r="B273" s="43" t="s">
        <v>154</v>
      </c>
      <c r="C273" s="41"/>
      <c r="D273" s="118">
        <v>150</v>
      </c>
      <c r="E273" s="41"/>
      <c r="F273" s="41">
        <f t="shared" si="24"/>
        <v>150</v>
      </c>
    </row>
    <row r="274" spans="1:6" ht="15" customHeight="1">
      <c r="A274" s="88"/>
      <c r="B274" s="43" t="s">
        <v>135</v>
      </c>
      <c r="C274" s="41"/>
      <c r="D274" s="118">
        <v>370</v>
      </c>
      <c r="E274" s="41"/>
      <c r="F274" s="41">
        <f t="shared" si="24"/>
        <v>370</v>
      </c>
    </row>
    <row r="275" spans="1:6" ht="19.5" customHeight="1">
      <c r="A275" s="88"/>
      <c r="B275" s="43" t="s">
        <v>160</v>
      </c>
      <c r="C275" s="41"/>
      <c r="D275" s="118">
        <v>1500</v>
      </c>
      <c r="E275" s="41"/>
      <c r="F275" s="41">
        <f t="shared" si="24"/>
        <v>1500</v>
      </c>
    </row>
    <row r="276" spans="1:6" ht="15" customHeight="1">
      <c r="A276" s="88"/>
      <c r="B276" s="43" t="s">
        <v>561</v>
      </c>
      <c r="C276" s="41"/>
      <c r="D276" s="118">
        <v>1800</v>
      </c>
      <c r="E276" s="41"/>
      <c r="F276" s="41">
        <f>D276</f>
        <v>1800</v>
      </c>
    </row>
    <row r="277" spans="1:7" ht="33" customHeight="1">
      <c r="A277" s="85" t="s">
        <v>562</v>
      </c>
      <c r="B277" s="91" t="s">
        <v>563</v>
      </c>
      <c r="C277" s="86"/>
      <c r="D277" s="115">
        <f>D278+D350</f>
        <v>2108221</v>
      </c>
      <c r="E277" s="86"/>
      <c r="F277" s="86">
        <f>D277</f>
        <v>2108221</v>
      </c>
      <c r="G277" s="92"/>
    </row>
    <row r="278" spans="1:8" ht="30" customHeight="1">
      <c r="A278" s="85" t="s">
        <v>566</v>
      </c>
      <c r="B278" s="91" t="s">
        <v>567</v>
      </c>
      <c r="C278" s="86"/>
      <c r="D278" s="86">
        <f>SUM(D279:D349)</f>
        <v>1322214</v>
      </c>
      <c r="E278" s="86"/>
      <c r="F278" s="86">
        <f>D278</f>
        <v>1322214</v>
      </c>
      <c r="G278" s="92"/>
      <c r="H278" s="93"/>
    </row>
    <row r="279" spans="1:8" ht="20.25" customHeight="1">
      <c r="A279" s="88"/>
      <c r="B279" s="64" t="s">
        <v>564</v>
      </c>
      <c r="C279" s="41"/>
      <c r="D279" s="118">
        <v>7240</v>
      </c>
      <c r="E279" s="41"/>
      <c r="F279" s="41">
        <f>D279</f>
        <v>7240</v>
      </c>
      <c r="G279" s="95"/>
      <c r="H279" s="93"/>
    </row>
    <row r="280" spans="1:8" ht="15" customHeight="1">
      <c r="A280" s="88"/>
      <c r="B280" s="46" t="s">
        <v>534</v>
      </c>
      <c r="C280" s="41"/>
      <c r="D280" s="118">
        <v>4200</v>
      </c>
      <c r="E280" s="41"/>
      <c r="F280" s="41">
        <f t="shared" si="25" ref="F280:F346">=D280</f>
        <v>4200</v>
      </c>
      <c r="H280" s="96"/>
    </row>
    <row r="281" spans="1:6" ht="15" customHeight="1">
      <c r="A281" s="88"/>
      <c r="B281" s="46" t="s">
        <v>800</v>
      </c>
      <c r="C281" s="41"/>
      <c r="D281" s="118">
        <f>226432+282536+217219</f>
        <v>726187</v>
      </c>
      <c r="E281" s="41"/>
      <c r="F281" s="41">
        <f t="shared" si="25"/>
        <v>726187</v>
      </c>
    </row>
    <row r="282" spans="1:6" ht="15" customHeight="1">
      <c r="A282" s="88"/>
      <c r="B282" s="46" t="s">
        <v>797</v>
      </c>
      <c r="C282" s="41"/>
      <c r="D282" s="118"/>
      <c r="E282" s="41"/>
      <c r="F282" s="41">
        <f t="shared" si="25"/>
        <v>0</v>
      </c>
    </row>
    <row r="283" spans="1:6" ht="15" customHeight="1">
      <c r="A283" s="88"/>
      <c r="B283" s="46" t="s">
        <v>799</v>
      </c>
      <c r="C283" s="41"/>
      <c r="D283" s="118">
        <v>5500</v>
      </c>
      <c r="E283" s="41"/>
      <c r="F283" s="41">
        <f t="shared" si="25"/>
        <v>5500</v>
      </c>
    </row>
    <row r="284" spans="1:6" ht="15" customHeight="1">
      <c r="A284" s="88"/>
      <c r="B284" s="46" t="s">
        <v>48</v>
      </c>
      <c r="C284" s="41"/>
      <c r="D284" s="118">
        <v>3000</v>
      </c>
      <c r="E284" s="41"/>
      <c r="F284" s="41">
        <f t="shared" si="25"/>
        <v>3000</v>
      </c>
    </row>
    <row r="285" spans="1:6" ht="15" customHeight="1">
      <c r="A285" s="88"/>
      <c r="B285" s="46" t="s">
        <v>744</v>
      </c>
      <c r="C285" s="41"/>
      <c r="D285" s="118">
        <v>180</v>
      </c>
      <c r="E285" s="41"/>
      <c r="F285" s="41">
        <f t="shared" si="25"/>
        <v>180</v>
      </c>
    </row>
    <row r="286" spans="1:6" ht="30" customHeight="1">
      <c r="A286" s="88"/>
      <c r="B286" s="46" t="s">
        <v>751</v>
      </c>
      <c r="C286" s="41"/>
      <c r="D286" s="118">
        <v>950</v>
      </c>
      <c r="E286" s="41"/>
      <c r="F286" s="41">
        <f t="shared" si="25"/>
        <v>950</v>
      </c>
    </row>
    <row r="287" spans="1:6" ht="30" customHeight="1">
      <c r="A287" s="88"/>
      <c r="B287" s="46" t="s">
        <v>803</v>
      </c>
      <c r="C287" s="41"/>
      <c r="D287" s="118">
        <v>13500</v>
      </c>
      <c r="E287" s="41"/>
      <c r="F287" s="41">
        <f t="shared" si="26" ref="F287">=D287</f>
        <v>13500</v>
      </c>
    </row>
    <row r="288" spans="1:6" ht="26.25" customHeight="1">
      <c r="A288" s="88"/>
      <c r="B288" s="46" t="s">
        <v>802</v>
      </c>
      <c r="C288" s="41"/>
      <c r="D288" s="118">
        <v>9100</v>
      </c>
      <c r="E288" s="41"/>
      <c r="F288" s="41">
        <f t="shared" si="25"/>
        <v>9100</v>
      </c>
    </row>
    <row r="289" spans="1:6" ht="15" customHeight="1">
      <c r="A289" s="88"/>
      <c r="B289" s="46" t="s">
        <v>801</v>
      </c>
      <c r="C289" s="41"/>
      <c r="D289" s="118">
        <v>10600</v>
      </c>
      <c r="E289" s="41"/>
      <c r="F289" s="41">
        <f t="shared" si="25"/>
        <v>10600</v>
      </c>
    </row>
    <row r="290" spans="1:6" ht="15" customHeight="1">
      <c r="A290" s="88"/>
      <c r="B290" s="46" t="s">
        <v>776</v>
      </c>
      <c r="C290" s="41"/>
      <c r="D290" s="118">
        <v>12000</v>
      </c>
      <c r="E290" s="41"/>
      <c r="F290" s="41">
        <f t="shared" si="25"/>
        <v>12000</v>
      </c>
    </row>
    <row r="291" spans="1:6" ht="34.5" customHeight="1">
      <c r="A291" s="88"/>
      <c r="B291" s="138" t="s">
        <v>5</v>
      </c>
      <c r="C291" s="41"/>
      <c r="D291" s="118">
        <v>600</v>
      </c>
      <c r="E291" s="41"/>
      <c r="F291" s="41">
        <f t="shared" si="25"/>
        <v>600</v>
      </c>
    </row>
    <row r="292" spans="1:6" ht="20.25" customHeight="1">
      <c r="A292" s="88"/>
      <c r="B292" s="140" t="s">
        <v>93</v>
      </c>
      <c r="C292" s="41"/>
      <c r="D292" s="109">
        <v>700</v>
      </c>
      <c r="E292" s="41"/>
      <c r="F292" s="41">
        <f t="shared" si="25"/>
        <v>700</v>
      </c>
    </row>
    <row r="293" spans="1:6" ht="20.25" customHeight="1">
      <c r="A293" s="88"/>
      <c r="B293" s="140" t="s">
        <v>156</v>
      </c>
      <c r="C293" s="41"/>
      <c r="D293" s="109">
        <v>70</v>
      </c>
      <c r="E293" s="41"/>
      <c r="F293" s="41">
        <f t="shared" si="25"/>
        <v>70</v>
      </c>
    </row>
    <row r="294" spans="1:6" ht="36" customHeight="1">
      <c r="A294" s="88"/>
      <c r="B294" s="138" t="s">
        <v>310</v>
      </c>
      <c r="C294" s="41"/>
      <c r="D294" s="109">
        <v>450</v>
      </c>
      <c r="E294" s="41"/>
      <c r="F294" s="41"/>
    </row>
    <row r="295" spans="1:6" ht="32.25" customHeight="1">
      <c r="A295" s="88"/>
      <c r="B295" s="138" t="s">
        <v>804</v>
      </c>
      <c r="C295" s="41"/>
      <c r="D295" s="109">
        <v>2280</v>
      </c>
      <c r="E295" s="41"/>
      <c r="F295" s="41">
        <f t="shared" si="25"/>
        <v>2280</v>
      </c>
    </row>
    <row r="296" spans="1:6" ht="30.75" customHeight="1">
      <c r="A296" s="88"/>
      <c r="B296" s="138" t="s">
        <v>805</v>
      </c>
      <c r="C296" s="41"/>
      <c r="D296" s="118">
        <v>56675</v>
      </c>
      <c r="E296" s="41"/>
      <c r="F296" s="41">
        <f t="shared" si="25"/>
        <v>56675</v>
      </c>
    </row>
    <row r="297" spans="1:6" ht="25.15" customHeight="1">
      <c r="A297" s="88"/>
      <c r="B297" s="138" t="s">
        <v>759</v>
      </c>
      <c r="C297" s="41"/>
      <c r="D297" s="118">
        <v>2850</v>
      </c>
      <c r="E297" s="41"/>
      <c r="F297" s="41">
        <f t="shared" si="25"/>
        <v>2850</v>
      </c>
    </row>
    <row r="298" spans="1:6" ht="29.25" customHeight="1">
      <c r="A298" s="88"/>
      <c r="B298" s="138" t="s">
        <v>806</v>
      </c>
      <c r="C298" s="41"/>
      <c r="D298" s="118">
        <v>2590</v>
      </c>
      <c r="E298" s="41"/>
      <c r="F298" s="41">
        <f t="shared" si="25"/>
        <v>2590</v>
      </c>
    </row>
    <row r="299" spans="1:6" ht="15.75" customHeight="1">
      <c r="A299" s="88"/>
      <c r="B299" s="138" t="s">
        <v>781</v>
      </c>
      <c r="C299" s="41"/>
      <c r="D299" s="118">
        <v>10804</v>
      </c>
      <c r="E299" s="41"/>
      <c r="F299" s="41">
        <f t="shared" si="25"/>
        <v>10804</v>
      </c>
    </row>
    <row r="300" spans="1:6" ht="15" customHeight="1">
      <c r="A300" s="88"/>
      <c r="B300" s="138" t="s">
        <v>807</v>
      </c>
      <c r="C300" s="41"/>
      <c r="D300" s="118">
        <v>1200</v>
      </c>
      <c r="E300" s="41"/>
      <c r="F300" s="41">
        <f t="shared" si="25"/>
        <v>1200</v>
      </c>
    </row>
    <row r="301" spans="1:6" ht="15" customHeight="1">
      <c r="A301" s="88"/>
      <c r="B301" s="138" t="s">
        <v>125</v>
      </c>
      <c r="C301" s="41"/>
      <c r="D301" s="118">
        <v>900</v>
      </c>
      <c r="E301" s="41"/>
      <c r="F301" s="41">
        <f t="shared" si="25"/>
        <v>900</v>
      </c>
    </row>
    <row r="302" spans="1:6" ht="15" customHeight="1">
      <c r="A302" s="88"/>
      <c r="B302" s="138" t="s">
        <v>568</v>
      </c>
      <c r="C302" s="41"/>
      <c r="D302" s="118">
        <v>35161</v>
      </c>
      <c r="E302" s="41" t="s">
        <v>569</v>
      </c>
      <c r="F302" s="41">
        <f t="shared" si="25"/>
        <v>35161</v>
      </c>
    </row>
    <row r="303" spans="1:6" ht="15" customHeight="1">
      <c r="A303" s="88"/>
      <c r="B303" s="138" t="s">
        <v>570</v>
      </c>
      <c r="C303" s="41"/>
      <c r="D303" s="118">
        <v>21857</v>
      </c>
      <c r="E303" s="41" t="s">
        <v>569</v>
      </c>
      <c r="F303" s="41">
        <f t="shared" si="25"/>
        <v>21857</v>
      </c>
    </row>
    <row r="304" spans="1:6" ht="15" customHeight="1">
      <c r="A304" s="88"/>
      <c r="B304" s="138" t="s">
        <v>571</v>
      </c>
      <c r="C304" s="41"/>
      <c r="D304" s="118">
        <v>9000</v>
      </c>
      <c r="E304" s="41"/>
      <c r="F304" s="41">
        <f t="shared" si="25"/>
        <v>9000</v>
      </c>
    </row>
    <row r="305" spans="1:6" ht="15" customHeight="1">
      <c r="A305" s="88"/>
      <c r="B305" s="138" t="s">
        <v>572</v>
      </c>
      <c r="C305" s="41"/>
      <c r="D305" s="118">
        <v>69000</v>
      </c>
      <c r="E305" s="41"/>
      <c r="F305" s="41">
        <f t="shared" si="25"/>
        <v>69000</v>
      </c>
    </row>
    <row r="306" spans="1:6" ht="15" customHeight="1">
      <c r="A306" s="88"/>
      <c r="B306" s="138" t="s">
        <v>341</v>
      </c>
      <c r="C306" s="41"/>
      <c r="D306" s="118">
        <v>13500</v>
      </c>
      <c r="E306" s="41"/>
      <c r="F306" s="41">
        <f t="shared" si="25"/>
        <v>13500</v>
      </c>
    </row>
    <row r="307" spans="1:6" ht="15" customHeight="1">
      <c r="A307" s="88"/>
      <c r="B307" s="138" t="s">
        <v>259</v>
      </c>
      <c r="C307" s="41"/>
      <c r="D307" s="118">
        <v>28967</v>
      </c>
      <c r="E307" s="41"/>
      <c r="F307" s="41">
        <f t="shared" si="25"/>
        <v>28967</v>
      </c>
    </row>
    <row r="308" spans="1:6" ht="15" customHeight="1">
      <c r="A308" s="88"/>
      <c r="B308" s="46" t="s">
        <v>573</v>
      </c>
      <c r="C308" s="41"/>
      <c r="D308" s="118">
        <v>59000</v>
      </c>
      <c r="E308" s="41"/>
      <c r="F308" s="41">
        <f t="shared" si="25"/>
        <v>59000</v>
      </c>
    </row>
    <row r="309" spans="1:6" ht="15" customHeight="1">
      <c r="A309" s="88"/>
      <c r="B309" s="46" t="s">
        <v>574</v>
      </c>
      <c r="C309" s="41"/>
      <c r="D309" s="118">
        <v>2840</v>
      </c>
      <c r="E309" s="41"/>
      <c r="F309" s="41">
        <f t="shared" si="25"/>
        <v>2840</v>
      </c>
    </row>
    <row r="310" spans="1:6" ht="15" customHeight="1">
      <c r="A310" s="88"/>
      <c r="B310" s="46" t="s">
        <v>575</v>
      </c>
      <c r="C310" s="41"/>
      <c r="D310" s="118">
        <v>11605</v>
      </c>
      <c r="E310" s="41"/>
      <c r="F310" s="41">
        <f t="shared" si="25"/>
        <v>11605</v>
      </c>
    </row>
    <row r="311" spans="1:6" ht="15" customHeight="1">
      <c r="A311" s="88"/>
      <c r="B311" s="46" t="s">
        <v>714</v>
      </c>
      <c r="C311" s="41"/>
      <c r="D311" s="109">
        <v>2500</v>
      </c>
      <c r="E311" s="41"/>
      <c r="F311" s="41">
        <f t="shared" si="25"/>
        <v>2500</v>
      </c>
    </row>
    <row r="312" spans="1:6" ht="15" customHeight="1">
      <c r="A312" s="88"/>
      <c r="B312" s="46" t="s">
        <v>576</v>
      </c>
      <c r="C312" s="41"/>
      <c r="D312" s="118">
        <v>4268</v>
      </c>
      <c r="E312" s="41"/>
      <c r="F312" s="41">
        <f t="shared" si="25"/>
        <v>4268</v>
      </c>
    </row>
    <row r="313" spans="1:6" ht="15" customHeight="1">
      <c r="A313" s="88"/>
      <c r="B313" s="46" t="s">
        <v>715</v>
      </c>
      <c r="C313" s="41"/>
      <c r="D313" s="118">
        <v>2391</v>
      </c>
      <c r="E313" s="41"/>
      <c r="F313" s="41">
        <f t="shared" si="25"/>
        <v>2391</v>
      </c>
    </row>
    <row r="314" spans="1:6" ht="15" customHeight="1">
      <c r="A314" s="88"/>
      <c r="B314" s="46" t="s">
        <v>577</v>
      </c>
      <c r="C314" s="41"/>
      <c r="D314" s="118">
        <v>4516</v>
      </c>
      <c r="E314" s="41"/>
      <c r="F314" s="41">
        <f t="shared" si="25"/>
        <v>4516</v>
      </c>
    </row>
    <row r="315" spans="1:6" ht="15" customHeight="1">
      <c r="A315" s="88"/>
      <c r="B315" s="46" t="s">
        <v>578</v>
      </c>
      <c r="C315" s="41"/>
      <c r="D315" s="118">
        <v>5348</v>
      </c>
      <c r="E315" s="41"/>
      <c r="F315" s="41">
        <f t="shared" si="25"/>
        <v>5348</v>
      </c>
    </row>
    <row r="316" spans="1:6" ht="15" customHeight="1">
      <c r="A316" s="88"/>
      <c r="B316" s="46" t="s">
        <v>579</v>
      </c>
      <c r="C316" s="41"/>
      <c r="D316" s="118">
        <v>5000</v>
      </c>
      <c r="E316" s="41"/>
      <c r="F316" s="41">
        <f t="shared" si="25"/>
        <v>5000</v>
      </c>
    </row>
    <row r="317" spans="1:6" ht="15" customHeight="1">
      <c r="A317" s="88"/>
      <c r="B317" s="46" t="s">
        <v>580</v>
      </c>
      <c r="C317" s="41"/>
      <c r="D317" s="118">
        <v>3422</v>
      </c>
      <c r="E317" s="41"/>
      <c r="F317" s="41">
        <f t="shared" si="25"/>
        <v>3422</v>
      </c>
    </row>
    <row r="318" spans="1:6" ht="15" customHeight="1">
      <c r="A318" s="88"/>
      <c r="B318" s="46" t="s">
        <v>716</v>
      </c>
      <c r="C318" s="41"/>
      <c r="D318" s="118">
        <v>3193</v>
      </c>
      <c r="E318" s="41"/>
      <c r="F318" s="41">
        <f t="shared" si="25"/>
        <v>3193</v>
      </c>
    </row>
    <row r="319" spans="1:6" ht="15" customHeight="1">
      <c r="A319" s="88"/>
      <c r="B319" s="46" t="s">
        <v>108</v>
      </c>
      <c r="C319" s="41"/>
      <c r="D319" s="118">
        <v>7036</v>
      </c>
      <c r="E319" s="41"/>
      <c r="F319" s="41">
        <f t="shared" si="25"/>
        <v>7036</v>
      </c>
    </row>
    <row r="320" spans="1:6" ht="15.75" customHeight="1">
      <c r="A320" s="88"/>
      <c r="B320" s="46" t="s">
        <v>113</v>
      </c>
      <c r="C320" s="41"/>
      <c r="D320" s="118">
        <v>2127</v>
      </c>
      <c r="E320" s="41"/>
      <c r="F320" s="41">
        <f t="shared" si="25"/>
        <v>2127</v>
      </c>
    </row>
    <row r="321" spans="1:6" ht="19.5" customHeight="1">
      <c r="A321" s="88"/>
      <c r="B321" s="46" t="s">
        <v>112</v>
      </c>
      <c r="C321" s="41"/>
      <c r="D321" s="118">
        <v>2977</v>
      </c>
      <c r="E321" s="41"/>
      <c r="F321" s="41">
        <f t="shared" si="25"/>
        <v>2977</v>
      </c>
    </row>
    <row r="322" spans="1:6" ht="18" customHeight="1">
      <c r="A322" s="88"/>
      <c r="B322" s="46" t="s">
        <v>581</v>
      </c>
      <c r="C322" s="41"/>
      <c r="D322" s="118">
        <v>6650</v>
      </c>
      <c r="E322" s="41"/>
      <c r="F322" s="41">
        <f t="shared" si="25"/>
        <v>6650</v>
      </c>
    </row>
    <row r="323" spans="1:6" ht="30" customHeight="1">
      <c r="A323" s="88"/>
      <c r="B323" s="46" t="s">
        <v>260</v>
      </c>
      <c r="C323" s="41"/>
      <c r="D323" s="118">
        <v>6463</v>
      </c>
      <c r="E323" s="41"/>
      <c r="F323" s="41">
        <f t="shared" si="25"/>
        <v>6463</v>
      </c>
    </row>
    <row r="324" spans="1:6" ht="30" customHeight="1">
      <c r="A324" s="88"/>
      <c r="B324" s="46" t="s">
        <v>717</v>
      </c>
      <c r="C324" s="41"/>
      <c r="D324" s="118">
        <v>4189</v>
      </c>
      <c r="E324" s="41"/>
      <c r="F324" s="41">
        <f t="shared" si="25"/>
        <v>4189</v>
      </c>
    </row>
    <row r="325" spans="1:6" ht="30" customHeight="1">
      <c r="A325" s="88"/>
      <c r="B325" s="46" t="s">
        <v>110</v>
      </c>
      <c r="C325" s="41"/>
      <c r="D325" s="118">
        <v>3605</v>
      </c>
      <c r="E325" s="41"/>
      <c r="F325" s="41">
        <f t="shared" si="25"/>
        <v>3605</v>
      </c>
    </row>
    <row r="326" spans="1:6" ht="30" customHeight="1">
      <c r="A326" s="88"/>
      <c r="B326" s="46" t="s">
        <v>582</v>
      </c>
      <c r="C326" s="41"/>
      <c r="D326" s="118">
        <v>2400</v>
      </c>
      <c r="E326" s="41"/>
      <c r="F326" s="41">
        <f t="shared" si="25"/>
        <v>2400</v>
      </c>
    </row>
    <row r="327" spans="1:6" ht="30" customHeight="1">
      <c r="A327" s="88"/>
      <c r="B327" s="138" t="s">
        <v>105</v>
      </c>
      <c r="C327" s="41"/>
      <c r="D327" s="118">
        <v>15900</v>
      </c>
      <c r="E327" s="41"/>
      <c r="F327" s="41">
        <f t="shared" si="25"/>
        <v>15900</v>
      </c>
    </row>
    <row r="328" spans="1:6" ht="30" customHeight="1">
      <c r="A328" s="88"/>
      <c r="B328" s="46" t="s">
        <v>718</v>
      </c>
      <c r="C328" s="41"/>
      <c r="D328" s="118">
        <v>2560</v>
      </c>
      <c r="E328" s="41"/>
      <c r="F328" s="41">
        <f t="shared" si="25"/>
        <v>2560</v>
      </c>
    </row>
    <row r="329" spans="1:6" ht="30" customHeight="1">
      <c r="A329" s="88"/>
      <c r="B329" s="46" t="s">
        <v>583</v>
      </c>
      <c r="C329" s="41"/>
      <c r="D329" s="118">
        <v>8308</v>
      </c>
      <c r="E329" s="41"/>
      <c r="F329" s="41">
        <f t="shared" si="25"/>
        <v>8308</v>
      </c>
    </row>
    <row r="330" spans="1:6" ht="30" customHeight="1">
      <c r="A330" s="88"/>
      <c r="B330" s="46" t="s">
        <v>584</v>
      </c>
      <c r="C330" s="41"/>
      <c r="D330" s="118">
        <v>7712</v>
      </c>
      <c r="E330" s="41"/>
      <c r="F330" s="41">
        <f t="shared" si="25"/>
        <v>7712</v>
      </c>
    </row>
    <row r="331" spans="1:6" ht="30" customHeight="1">
      <c r="A331" s="88"/>
      <c r="B331" s="46" t="s">
        <v>719</v>
      </c>
      <c r="C331" s="41"/>
      <c r="D331" s="109">
        <v>2845</v>
      </c>
      <c r="E331" s="41"/>
      <c r="F331" s="41">
        <f t="shared" si="25"/>
        <v>2845</v>
      </c>
    </row>
    <row r="332" spans="1:6" ht="30" customHeight="1">
      <c r="A332" s="88"/>
      <c r="B332" s="46" t="s">
        <v>585</v>
      </c>
      <c r="C332" s="41"/>
      <c r="D332" s="118">
        <v>4230</v>
      </c>
      <c r="E332" s="41"/>
      <c r="F332" s="41">
        <f t="shared" si="25"/>
        <v>4230</v>
      </c>
    </row>
    <row r="333" spans="1:6" ht="30" customHeight="1">
      <c r="A333" s="88"/>
      <c r="B333" s="46" t="s">
        <v>720</v>
      </c>
      <c r="C333" s="41"/>
      <c r="D333" s="118">
        <v>3572</v>
      </c>
      <c r="E333" s="41"/>
      <c r="F333" s="41">
        <f t="shared" si="25"/>
        <v>3572</v>
      </c>
    </row>
    <row r="334" spans="1:6" ht="30" customHeight="1">
      <c r="A334" s="88"/>
      <c r="B334" s="46" t="s">
        <v>586</v>
      </c>
      <c r="C334" s="41"/>
      <c r="D334" s="118">
        <v>6752</v>
      </c>
      <c r="E334" s="41"/>
      <c r="F334" s="41">
        <f t="shared" si="25"/>
        <v>6752</v>
      </c>
    </row>
    <row r="335" spans="1:6" ht="30" customHeight="1">
      <c r="A335" s="88"/>
      <c r="B335" s="46" t="s">
        <v>587</v>
      </c>
      <c r="C335" s="41"/>
      <c r="D335" s="118">
        <v>4700</v>
      </c>
      <c r="E335" s="41"/>
      <c r="F335" s="41">
        <f t="shared" si="25"/>
        <v>4700</v>
      </c>
    </row>
    <row r="336" spans="1:6" ht="30" customHeight="1">
      <c r="A336" s="88"/>
      <c r="B336" s="46" t="s">
        <v>588</v>
      </c>
      <c r="C336" s="41"/>
      <c r="D336" s="118">
        <v>2718</v>
      </c>
      <c r="E336" s="41"/>
      <c r="F336" s="41">
        <f t="shared" si="25"/>
        <v>2718</v>
      </c>
    </row>
    <row r="337" spans="1:6" ht="30" customHeight="1">
      <c r="A337" s="88"/>
      <c r="B337" s="46" t="s">
        <v>589</v>
      </c>
      <c r="C337" s="41"/>
      <c r="D337" s="118">
        <v>8550</v>
      </c>
      <c r="E337" s="41"/>
      <c r="F337" s="41">
        <f t="shared" si="25"/>
        <v>8550</v>
      </c>
    </row>
    <row r="338" spans="1:6" ht="30" customHeight="1">
      <c r="A338" s="88"/>
      <c r="B338" s="46" t="s">
        <v>721</v>
      </c>
      <c r="C338" s="41"/>
      <c r="D338" s="118">
        <v>1270</v>
      </c>
      <c r="E338" s="41"/>
      <c r="F338" s="41">
        <f t="shared" si="25"/>
        <v>1270</v>
      </c>
    </row>
    <row r="339" spans="1:6" ht="15" customHeight="1">
      <c r="A339" s="88"/>
      <c r="B339" s="46" t="s">
        <v>590</v>
      </c>
      <c r="C339" s="41"/>
      <c r="D339" s="118">
        <v>6780</v>
      </c>
      <c r="E339" s="41"/>
      <c r="F339" s="41">
        <f t="shared" si="25"/>
        <v>6780</v>
      </c>
    </row>
    <row r="340" spans="1:9" s="93" customFormat="1" ht="15" customHeight="1">
      <c r="A340" s="88"/>
      <c r="B340" s="46" t="s">
        <v>591</v>
      </c>
      <c r="C340" s="41"/>
      <c r="D340" s="118">
        <v>1010</v>
      </c>
      <c r="E340" s="41"/>
      <c r="F340" s="41">
        <f t="shared" si="25"/>
        <v>1010</v>
      </c>
      <c r="G340" s="78"/>
      <c r="H340" s="66"/>
      <c r="I340" s="66"/>
    </row>
    <row r="341" spans="1:9" ht="15" customHeight="1">
      <c r="A341" s="88"/>
      <c r="B341" s="46" t="s">
        <v>595</v>
      </c>
      <c r="C341" s="41"/>
      <c r="D341" s="118">
        <v>6273</v>
      </c>
      <c r="E341" s="41"/>
      <c r="F341" s="41">
        <f t="shared" si="27" ref="F341">=D341</f>
        <v>6273</v>
      </c>
      <c r="I341" s="93"/>
    </row>
    <row r="342" spans="1:6" ht="15" customHeight="1">
      <c r="A342" s="88"/>
      <c r="B342" s="46" t="s">
        <v>592</v>
      </c>
      <c r="C342" s="41"/>
      <c r="D342" s="118">
        <v>4286</v>
      </c>
      <c r="E342" s="41"/>
      <c r="F342" s="41">
        <f t="shared" si="25"/>
        <v>4286</v>
      </c>
    </row>
    <row r="343" spans="1:6" ht="15" customHeight="1">
      <c r="A343" s="88"/>
      <c r="B343" s="46" t="s">
        <v>593</v>
      </c>
      <c r="C343" s="41"/>
      <c r="D343" s="118">
        <v>720</v>
      </c>
      <c r="E343" s="41"/>
      <c r="F343" s="41">
        <f t="shared" si="25"/>
        <v>720</v>
      </c>
    </row>
    <row r="344" spans="1:6" ht="15" customHeight="1">
      <c r="A344" s="88"/>
      <c r="B344" s="46" t="s">
        <v>594</v>
      </c>
      <c r="C344" s="41"/>
      <c r="D344" s="118">
        <v>2000</v>
      </c>
      <c r="E344" s="41"/>
      <c r="F344" s="41">
        <f t="shared" si="25"/>
        <v>2000</v>
      </c>
    </row>
    <row r="345" spans="1:6" ht="15" customHeight="1">
      <c r="A345" s="88"/>
      <c r="B345" s="46" t="s">
        <v>538</v>
      </c>
      <c r="C345" s="41"/>
      <c r="D345" s="118">
        <v>17550</v>
      </c>
      <c r="E345" s="41"/>
      <c r="F345" s="41">
        <f t="shared" si="25"/>
        <v>17550</v>
      </c>
    </row>
    <row r="346" spans="1:6" ht="15" customHeight="1">
      <c r="A346" s="88"/>
      <c r="B346" s="46" t="s">
        <v>722</v>
      </c>
      <c r="C346" s="41"/>
      <c r="D346" s="118">
        <v>6665</v>
      </c>
      <c r="E346" s="41"/>
      <c r="F346" s="41">
        <f t="shared" si="25"/>
        <v>6665</v>
      </c>
    </row>
    <row r="347" spans="1:6" ht="15" customHeight="1">
      <c r="A347" s="88"/>
      <c r="B347" s="46" t="s">
        <v>596</v>
      </c>
      <c r="C347" s="41"/>
      <c r="D347" s="118">
        <v>7985</v>
      </c>
      <c r="E347" s="41"/>
      <c r="F347" s="41">
        <f t="shared" si="28" ref="F347:F349">=D347</f>
        <v>7985</v>
      </c>
    </row>
    <row r="348" spans="1:6" ht="15" customHeight="1">
      <c r="A348" s="88"/>
      <c r="B348" s="46" t="s">
        <v>597</v>
      </c>
      <c r="C348" s="41"/>
      <c r="D348" s="118">
        <v>3510</v>
      </c>
      <c r="E348" s="41"/>
      <c r="F348" s="41">
        <f t="shared" si="28"/>
        <v>3510</v>
      </c>
    </row>
    <row r="349" spans="1:6" ht="15" customHeight="1">
      <c r="A349" s="88"/>
      <c r="B349" s="46" t="s">
        <v>122</v>
      </c>
      <c r="C349" s="41"/>
      <c r="D349" s="118">
        <v>7727</v>
      </c>
      <c r="E349" s="41"/>
      <c r="F349" s="41">
        <f t="shared" si="28"/>
        <v>7727</v>
      </c>
    </row>
    <row r="350" spans="1:7" ht="15" customHeight="1">
      <c r="A350" s="85" t="s">
        <v>598</v>
      </c>
      <c r="B350" s="85" t="s">
        <v>599</v>
      </c>
      <c r="C350" s="86"/>
      <c r="D350" s="115">
        <f>SUM(D351:D358)</f>
        <v>786007</v>
      </c>
      <c r="E350" s="86"/>
      <c r="F350" s="86">
        <f t="shared" si="29" ref="F350:F361">=D350</f>
        <v>786007</v>
      </c>
      <c r="G350" s="92"/>
    </row>
    <row r="351" spans="1:8" ht="15" customHeight="1">
      <c r="A351" s="88"/>
      <c r="B351" s="46" t="s">
        <v>565</v>
      </c>
      <c r="C351" s="41"/>
      <c r="D351" s="118">
        <v>781492</v>
      </c>
      <c r="E351" s="41"/>
      <c r="F351" s="41">
        <f t="shared" si="29"/>
        <v>781492</v>
      </c>
      <c r="H351" s="93"/>
    </row>
    <row r="352" spans="1:6" ht="15" customHeight="1">
      <c r="A352" s="88"/>
      <c r="B352" s="43" t="s">
        <v>21</v>
      </c>
      <c r="C352" s="41"/>
      <c r="D352" s="118">
        <v>170</v>
      </c>
      <c r="E352" s="41"/>
      <c r="F352" s="41">
        <f t="shared" si="29"/>
        <v>170</v>
      </c>
    </row>
    <row r="353" spans="1:6" ht="15" customHeight="1">
      <c r="A353" s="88"/>
      <c r="B353" s="138" t="s">
        <v>22</v>
      </c>
      <c r="C353" s="41"/>
      <c r="D353" s="118">
        <v>941</v>
      </c>
      <c r="E353" s="41"/>
      <c r="F353" s="41">
        <f t="shared" si="29"/>
        <v>941</v>
      </c>
    </row>
    <row r="354" spans="1:6" ht="15" customHeight="1">
      <c r="A354" s="88"/>
      <c r="B354" s="138" t="s">
        <v>24</v>
      </c>
      <c r="C354" s="41"/>
      <c r="D354" s="118">
        <v>225</v>
      </c>
      <c r="E354" s="41"/>
      <c r="F354" s="41">
        <f t="shared" si="29"/>
        <v>225</v>
      </c>
    </row>
    <row r="355" spans="1:6" ht="15" customHeight="1">
      <c r="A355" s="88"/>
      <c r="B355" s="138" t="s">
        <v>23</v>
      </c>
      <c r="C355" s="41"/>
      <c r="D355" s="118">
        <v>2191</v>
      </c>
      <c r="E355" s="41"/>
      <c r="F355" s="41">
        <f t="shared" si="29"/>
        <v>2191</v>
      </c>
    </row>
    <row r="356" spans="1:6" ht="15" customHeight="1">
      <c r="A356" s="88"/>
      <c r="B356" s="138" t="s">
        <v>25</v>
      </c>
      <c r="C356" s="41"/>
      <c r="D356" s="118">
        <v>295</v>
      </c>
      <c r="E356" s="41"/>
      <c r="F356" s="41">
        <f t="shared" si="29"/>
        <v>295</v>
      </c>
    </row>
    <row r="357" spans="1:6" ht="15" customHeight="1">
      <c r="A357" s="88"/>
      <c r="B357" s="138" t="s">
        <v>26</v>
      </c>
      <c r="C357" s="41"/>
      <c r="D357" s="118">
        <v>627</v>
      </c>
      <c r="E357" s="41"/>
      <c r="F357" s="41">
        <f t="shared" si="29"/>
        <v>627</v>
      </c>
    </row>
    <row r="358" spans="1:6" ht="15" customHeight="1">
      <c r="A358" s="88"/>
      <c r="B358" s="138" t="s">
        <v>28</v>
      </c>
      <c r="C358" s="41"/>
      <c r="D358" s="118">
        <v>66</v>
      </c>
      <c r="E358" s="41"/>
      <c r="F358" s="41">
        <f t="shared" si="29"/>
        <v>66</v>
      </c>
    </row>
    <row r="359" spans="1:6" ht="54.75" customHeight="1">
      <c r="A359" s="85" t="s">
        <v>762</v>
      </c>
      <c r="B359" s="91" t="s">
        <v>763</v>
      </c>
      <c r="C359" s="41"/>
      <c r="D359" s="118">
        <f>SUM(D360)</f>
        <v>2425</v>
      </c>
      <c r="E359" s="41"/>
      <c r="F359" s="41">
        <f>SUM(F360)</f>
        <v>2425</v>
      </c>
    </row>
    <row r="360" spans="1:6" ht="26.25" customHeight="1">
      <c r="A360" s="85"/>
      <c r="B360" s="46" t="s">
        <v>764</v>
      </c>
      <c r="C360" s="41"/>
      <c r="D360" s="118">
        <v>2425</v>
      </c>
      <c r="E360" s="41"/>
      <c r="F360" s="41">
        <f>D360</f>
        <v>2425</v>
      </c>
    </row>
    <row r="361" spans="1:9" s="96" customFormat="1" ht="15" customHeight="1">
      <c r="A361" s="85" t="s">
        <v>600</v>
      </c>
      <c r="B361" s="91" t="s">
        <v>601</v>
      </c>
      <c r="C361" s="86"/>
      <c r="D361" s="115">
        <f>D362+D369+D370+D399</f>
        <v>325580</v>
      </c>
      <c r="E361" s="86"/>
      <c r="F361" s="86">
        <f t="shared" si="29"/>
        <v>325580</v>
      </c>
      <c r="G361" s="78"/>
      <c r="H361" s="66"/>
      <c r="I361" s="66"/>
    </row>
    <row r="362" spans="1:9" ht="15" customHeight="1">
      <c r="A362" s="85" t="s">
        <v>602</v>
      </c>
      <c r="B362" s="91" t="s">
        <v>603</v>
      </c>
      <c r="C362" s="86"/>
      <c r="D362" s="115">
        <f>SUM(D363:D368)</f>
        <v>19661</v>
      </c>
      <c r="E362" s="86"/>
      <c r="F362" s="86">
        <f t="shared" si="30" ref="F362:F368">=D362</f>
        <v>19661</v>
      </c>
      <c r="G362" s="90"/>
      <c r="I362" s="96"/>
    </row>
    <row r="363" spans="1:7" ht="15" customHeight="1">
      <c r="A363" s="88"/>
      <c r="B363" s="46" t="s">
        <v>83</v>
      </c>
      <c r="C363" s="41"/>
      <c r="D363" s="118">
        <v>6047</v>
      </c>
      <c r="E363" s="41"/>
      <c r="F363" s="41">
        <f t="shared" si="30"/>
        <v>6047</v>
      </c>
      <c r="G363" s="90"/>
    </row>
    <row r="364" spans="1:6" ht="15" customHeight="1">
      <c r="A364" s="88"/>
      <c r="B364" s="46" t="s">
        <v>174</v>
      </c>
      <c r="C364" s="41"/>
      <c r="D364" s="118">
        <v>6156</v>
      </c>
      <c r="E364" s="41"/>
      <c r="F364" s="41">
        <f t="shared" si="30"/>
        <v>6156</v>
      </c>
    </row>
    <row r="365" spans="1:6" ht="15" customHeight="1">
      <c r="A365" s="88"/>
      <c r="B365" s="46" t="s">
        <v>236</v>
      </c>
      <c r="C365" s="41"/>
      <c r="D365" s="118">
        <v>1688</v>
      </c>
      <c r="E365" s="41"/>
      <c r="F365" s="41">
        <f t="shared" si="30"/>
        <v>1688</v>
      </c>
    </row>
    <row r="366" spans="1:6" ht="16.5" customHeight="1">
      <c r="A366" s="88"/>
      <c r="B366" s="43" t="s">
        <v>168</v>
      </c>
      <c r="C366" s="41"/>
      <c r="D366" s="118">
        <v>2550</v>
      </c>
      <c r="E366" s="41"/>
      <c r="F366" s="41">
        <f t="shared" si="30"/>
        <v>2550</v>
      </c>
    </row>
    <row r="367" spans="1:6" ht="15" customHeight="1">
      <c r="A367" s="88"/>
      <c r="B367" s="43" t="s">
        <v>163</v>
      </c>
      <c r="C367" s="41"/>
      <c r="D367" s="118">
        <v>1560</v>
      </c>
      <c r="E367" s="41"/>
      <c r="F367" s="41">
        <f t="shared" si="30"/>
        <v>1560</v>
      </c>
    </row>
    <row r="368" spans="1:6" ht="15" customHeight="1">
      <c r="A368" s="88"/>
      <c r="B368" s="43" t="s">
        <v>176</v>
      </c>
      <c r="C368" s="41"/>
      <c r="D368" s="118">
        <v>1660</v>
      </c>
      <c r="E368" s="41"/>
      <c r="F368" s="41">
        <f t="shared" si="30"/>
        <v>1660</v>
      </c>
    </row>
    <row r="369" spans="1:6" ht="15" customHeight="1">
      <c r="A369" s="85" t="s">
        <v>604</v>
      </c>
      <c r="B369" s="145" t="s">
        <v>605</v>
      </c>
      <c r="C369" s="86"/>
      <c r="D369" s="86">
        <v>75000</v>
      </c>
      <c r="E369" s="86"/>
      <c r="F369" s="86">
        <f>D369</f>
        <v>75000</v>
      </c>
    </row>
    <row r="370" spans="1:7" ht="15" customHeight="1">
      <c r="A370" s="85" t="s">
        <v>606</v>
      </c>
      <c r="B370" s="85" t="s">
        <v>607</v>
      </c>
      <c r="C370" s="86"/>
      <c r="D370" s="86">
        <f>SUM(D371:D398)</f>
        <v>182599</v>
      </c>
      <c r="E370" s="86"/>
      <c r="F370" s="86">
        <f>D370</f>
        <v>182599</v>
      </c>
      <c r="G370" s="90"/>
    </row>
    <row r="371" spans="1:7" ht="15" customHeight="1">
      <c r="A371" s="88"/>
      <c r="B371" s="43" t="s">
        <v>190</v>
      </c>
      <c r="C371" s="41"/>
      <c r="D371" s="41">
        <v>21000</v>
      </c>
      <c r="E371" s="41"/>
      <c r="F371" s="41">
        <f>D371</f>
        <v>21000</v>
      </c>
      <c r="G371" s="95"/>
    </row>
    <row r="372" spans="1:8" ht="15" customHeight="1">
      <c r="A372" s="88"/>
      <c r="B372" s="43" t="s">
        <v>15</v>
      </c>
      <c r="C372" s="41"/>
      <c r="D372" s="118">
        <v>1200</v>
      </c>
      <c r="E372" s="41"/>
      <c r="F372" s="41">
        <f t="shared" si="31" ref="F372:F386">=D372</f>
        <v>1200</v>
      </c>
      <c r="H372" s="96"/>
    </row>
    <row r="373" spans="1:6" ht="15" customHeight="1">
      <c r="A373" s="88"/>
      <c r="B373" s="43" t="s">
        <v>608</v>
      </c>
      <c r="C373" s="41"/>
      <c r="D373" s="118">
        <v>18500</v>
      </c>
      <c r="E373" s="41"/>
      <c r="F373" s="41">
        <f t="shared" si="31"/>
        <v>18500</v>
      </c>
    </row>
    <row r="374" spans="1:6" ht="15" customHeight="1">
      <c r="A374" s="88"/>
      <c r="B374" s="43" t="s">
        <v>565</v>
      </c>
      <c r="C374" s="41"/>
      <c r="D374" s="118">
        <f>5186+95100+9380</f>
        <v>109666</v>
      </c>
      <c r="E374" s="41"/>
      <c r="F374" s="41">
        <f t="shared" si="31"/>
        <v>109666</v>
      </c>
    </row>
    <row r="375" spans="1:6" ht="15" customHeight="1">
      <c r="A375" s="88"/>
      <c r="B375" s="146" t="s">
        <v>808</v>
      </c>
      <c r="C375" s="41"/>
      <c r="D375" s="118">
        <v>600</v>
      </c>
      <c r="E375" s="41"/>
      <c r="F375" s="41">
        <f t="shared" si="31"/>
        <v>600</v>
      </c>
    </row>
    <row r="376" spans="1:6" ht="19.5" customHeight="1">
      <c r="A376" s="88"/>
      <c r="B376" s="46" t="s">
        <v>830</v>
      </c>
      <c r="C376" s="41"/>
      <c r="D376" s="118">
        <v>1510</v>
      </c>
      <c r="E376" s="41"/>
      <c r="F376" s="41">
        <f t="shared" si="31"/>
        <v>1510</v>
      </c>
    </row>
    <row r="377" spans="1:6" ht="15" customHeight="1">
      <c r="A377" s="88"/>
      <c r="B377" s="43" t="s">
        <v>694</v>
      </c>
      <c r="C377" s="41"/>
      <c r="D377" s="118">
        <v>367</v>
      </c>
      <c r="E377" s="41"/>
      <c r="F377" s="41">
        <f>D377</f>
        <v>367</v>
      </c>
    </row>
    <row r="378" spans="1:6" ht="15" customHeight="1">
      <c r="A378" s="88"/>
      <c r="B378" s="146" t="s">
        <v>172</v>
      </c>
      <c r="C378" s="41"/>
      <c r="D378" s="118">
        <v>600</v>
      </c>
      <c r="E378" s="41"/>
      <c r="F378" s="41">
        <f t="shared" si="32" ref="F378">=D378</f>
        <v>600</v>
      </c>
    </row>
    <row r="379" spans="1:6" ht="21.75" customHeight="1">
      <c r="A379" s="88"/>
      <c r="B379" s="43" t="s">
        <v>776</v>
      </c>
      <c r="C379" s="41"/>
      <c r="D379" s="118">
        <v>1500</v>
      </c>
      <c r="E379" s="41"/>
      <c r="F379" s="41">
        <f>D379</f>
        <v>1500</v>
      </c>
    </row>
    <row r="380" spans="1:6" ht="30" customHeight="1">
      <c r="A380" s="88"/>
      <c r="B380" s="43" t="s">
        <v>809</v>
      </c>
      <c r="C380" s="41"/>
      <c r="D380" s="118">
        <v>1800</v>
      </c>
      <c r="E380" s="41"/>
      <c r="F380" s="41">
        <f t="shared" si="31"/>
        <v>1800</v>
      </c>
    </row>
    <row r="381" spans="1:6" ht="30" customHeight="1">
      <c r="A381" s="88"/>
      <c r="B381" s="46" t="s">
        <v>810</v>
      </c>
      <c r="C381" s="41"/>
      <c r="D381" s="118">
        <v>400</v>
      </c>
      <c r="E381" s="41"/>
      <c r="F381" s="41">
        <f t="shared" si="31"/>
        <v>400</v>
      </c>
    </row>
    <row r="382" spans="1:6" ht="30" customHeight="1">
      <c r="A382" s="88"/>
      <c r="B382" s="46" t="s">
        <v>80</v>
      </c>
      <c r="C382" s="41"/>
      <c r="D382" s="118">
        <v>365</v>
      </c>
      <c r="E382" s="41"/>
      <c r="F382" s="41">
        <f>D382</f>
        <v>365</v>
      </c>
    </row>
    <row r="383" spans="1:6" ht="30" customHeight="1">
      <c r="A383" s="88"/>
      <c r="B383" s="46" t="s">
        <v>325</v>
      </c>
      <c r="C383" s="41"/>
      <c r="D383" s="118">
        <v>1800</v>
      </c>
      <c r="E383" s="41"/>
      <c r="F383" s="41">
        <f>D383</f>
        <v>1800</v>
      </c>
    </row>
    <row r="384" spans="1:6" ht="30" customHeight="1">
      <c r="A384" s="88"/>
      <c r="B384" s="146" t="s">
        <v>799</v>
      </c>
      <c r="C384" s="41"/>
      <c r="D384" s="118">
        <v>100</v>
      </c>
      <c r="E384" s="41"/>
      <c r="F384" s="41">
        <f t="shared" si="31"/>
        <v>100</v>
      </c>
    </row>
    <row r="385" spans="1:6" ht="30" customHeight="1">
      <c r="A385" s="88"/>
      <c r="B385" s="43" t="s">
        <v>819</v>
      </c>
      <c r="C385" s="41"/>
      <c r="D385" s="118">
        <v>200</v>
      </c>
      <c r="E385" s="41"/>
      <c r="F385" s="41">
        <f t="shared" si="31"/>
        <v>200</v>
      </c>
    </row>
    <row r="386" spans="1:6" ht="30" customHeight="1">
      <c r="A386" s="88"/>
      <c r="B386" s="146" t="s">
        <v>818</v>
      </c>
      <c r="C386" s="41"/>
      <c r="D386" s="109">
        <v>1000</v>
      </c>
      <c r="E386" s="41"/>
      <c r="F386" s="41">
        <f t="shared" si="31"/>
        <v>1000</v>
      </c>
    </row>
    <row r="387" spans="1:6" ht="30" customHeight="1">
      <c r="A387" s="88"/>
      <c r="B387" s="146" t="s">
        <v>817</v>
      </c>
      <c r="C387" s="41"/>
      <c r="D387" s="118">
        <f>5000+500</f>
        <v>5500</v>
      </c>
      <c r="E387" s="41"/>
      <c r="F387" s="41">
        <f t="shared" si="33" ref="F387:F398">=D387</f>
        <v>5500</v>
      </c>
    </row>
    <row r="388" spans="1:6" ht="30" customHeight="1">
      <c r="A388" s="88"/>
      <c r="B388" s="146" t="s">
        <v>811</v>
      </c>
      <c r="C388" s="41"/>
      <c r="D388" s="118">
        <v>1300</v>
      </c>
      <c r="E388" s="41"/>
      <c r="F388" s="41">
        <f t="shared" si="33"/>
        <v>1300</v>
      </c>
    </row>
    <row r="389" spans="1:6" ht="15" customHeight="1">
      <c r="A389" s="88"/>
      <c r="B389" s="46" t="s">
        <v>707</v>
      </c>
      <c r="C389" s="41"/>
      <c r="D389" s="118">
        <v>300</v>
      </c>
      <c r="E389" s="41"/>
      <c r="F389" s="41">
        <f t="shared" si="33"/>
        <v>300</v>
      </c>
    </row>
    <row r="390" spans="1:6" ht="20.25" customHeight="1">
      <c r="A390" s="88"/>
      <c r="B390" s="138" t="s">
        <v>84</v>
      </c>
      <c r="C390" s="41"/>
      <c r="D390" s="118">
        <v>8691</v>
      </c>
      <c r="E390" s="41"/>
      <c r="F390" s="41">
        <f t="shared" si="33"/>
        <v>8691</v>
      </c>
    </row>
    <row r="391" spans="1:6" ht="30.75" customHeight="1">
      <c r="A391" s="88"/>
      <c r="B391" s="138" t="s">
        <v>812</v>
      </c>
      <c r="C391" s="41"/>
      <c r="D391" s="118">
        <v>200</v>
      </c>
      <c r="E391" s="41"/>
      <c r="F391" s="41">
        <f t="shared" si="34" ref="F391:F393">=D391</f>
        <v>200</v>
      </c>
    </row>
    <row r="392" spans="1:6" ht="28.5" customHeight="1">
      <c r="A392" s="88"/>
      <c r="B392" s="138" t="s">
        <v>813</v>
      </c>
      <c r="C392" s="41"/>
      <c r="D392" s="118">
        <v>900</v>
      </c>
      <c r="E392" s="41"/>
      <c r="F392" s="41">
        <f t="shared" si="34"/>
        <v>900</v>
      </c>
    </row>
    <row r="393" spans="1:6" ht="33" customHeight="1">
      <c r="A393" s="88"/>
      <c r="B393" s="138" t="s">
        <v>814</v>
      </c>
      <c r="C393" s="41"/>
      <c r="D393" s="118">
        <v>300</v>
      </c>
      <c r="E393" s="41"/>
      <c r="F393" s="41">
        <f t="shared" si="34"/>
        <v>300</v>
      </c>
    </row>
    <row r="394" spans="1:6" ht="15" customHeight="1">
      <c r="A394" s="88"/>
      <c r="B394" s="138" t="s">
        <v>710</v>
      </c>
      <c r="C394" s="41"/>
      <c r="D394" s="118">
        <v>1000</v>
      </c>
      <c r="E394" s="41"/>
      <c r="F394" s="41">
        <f t="shared" si="33"/>
        <v>1000</v>
      </c>
    </row>
    <row r="395" spans="1:6" ht="15" customHeight="1">
      <c r="A395" s="88"/>
      <c r="B395" s="138" t="s">
        <v>176</v>
      </c>
      <c r="C395" s="41"/>
      <c r="D395" s="109">
        <v>1000</v>
      </c>
      <c r="E395" s="41"/>
      <c r="F395" s="41">
        <f t="shared" si="33"/>
        <v>1000</v>
      </c>
    </row>
    <row r="396" spans="1:6" ht="15.75">
      <c r="A396" s="88"/>
      <c r="B396" s="141" t="s">
        <v>815</v>
      </c>
      <c r="C396" s="41"/>
      <c r="D396" s="118">
        <v>1000</v>
      </c>
      <c r="E396" s="41"/>
      <c r="F396" s="41">
        <f t="shared" si="33"/>
        <v>1000</v>
      </c>
    </row>
    <row r="397" spans="1:6" ht="33.6" customHeight="1">
      <c r="A397" s="88"/>
      <c r="B397" s="138" t="s">
        <v>816</v>
      </c>
      <c r="C397" s="41"/>
      <c r="D397" s="118">
        <v>1400</v>
      </c>
      <c r="E397" s="41"/>
      <c r="F397" s="41">
        <f t="shared" si="33"/>
        <v>1400</v>
      </c>
    </row>
    <row r="398" spans="1:6" ht="30.6" customHeight="1">
      <c r="A398" s="88"/>
      <c r="B398" s="138" t="s">
        <v>787</v>
      </c>
      <c r="C398" s="41"/>
      <c r="D398" s="109">
        <v>400</v>
      </c>
      <c r="E398" s="41"/>
      <c r="F398" s="41">
        <f t="shared" si="33"/>
        <v>400</v>
      </c>
    </row>
    <row r="399" spans="1:6" ht="15" customHeight="1">
      <c r="A399" s="85" t="s">
        <v>609</v>
      </c>
      <c r="B399" s="85" t="s">
        <v>610</v>
      </c>
      <c r="C399" s="86"/>
      <c r="D399" s="115">
        <f>SUM(D400:D420)</f>
        <v>48320</v>
      </c>
      <c r="E399" s="86"/>
      <c r="F399" s="86">
        <f>D399</f>
        <v>48320</v>
      </c>
    </row>
    <row r="400" spans="1:6" ht="15" customHeight="1">
      <c r="A400" s="88"/>
      <c r="B400" s="43" t="s">
        <v>43</v>
      </c>
      <c r="C400" s="41"/>
      <c r="D400" s="118">
        <v>2200</v>
      </c>
      <c r="E400" s="41"/>
      <c r="F400" s="41">
        <f>D400</f>
        <v>2200</v>
      </c>
    </row>
    <row r="401" spans="1:6" ht="15" customHeight="1">
      <c r="A401" s="88"/>
      <c r="B401" s="43" t="s">
        <v>44</v>
      </c>
      <c r="C401" s="41"/>
      <c r="D401" s="118">
        <v>3000</v>
      </c>
      <c r="E401" s="41"/>
      <c r="F401" s="41">
        <f t="shared" si="35" ref="F401:F420">=D401</f>
        <v>3000</v>
      </c>
    </row>
    <row r="402" spans="1:6" ht="15" customHeight="1">
      <c r="A402" s="88"/>
      <c r="B402" s="43" t="s">
        <v>696</v>
      </c>
      <c r="C402" s="41"/>
      <c r="D402" s="118">
        <v>1875</v>
      </c>
      <c r="E402" s="41"/>
      <c r="F402" s="41">
        <f t="shared" si="35"/>
        <v>1875</v>
      </c>
    </row>
    <row r="403" spans="1:6" ht="15" customHeight="1">
      <c r="A403" s="88"/>
      <c r="B403" s="43" t="s">
        <v>611</v>
      </c>
      <c r="C403" s="41"/>
      <c r="D403" s="118">
        <v>1200</v>
      </c>
      <c r="E403" s="41"/>
      <c r="F403" s="41">
        <f t="shared" si="35"/>
        <v>1200</v>
      </c>
    </row>
    <row r="404" spans="1:6" ht="15" customHeight="1">
      <c r="A404" s="88"/>
      <c r="B404" s="43" t="s">
        <v>523</v>
      </c>
      <c r="C404" s="41"/>
      <c r="D404" s="118">
        <v>550</v>
      </c>
      <c r="E404" s="41"/>
      <c r="F404" s="41">
        <f t="shared" si="35"/>
        <v>550</v>
      </c>
    </row>
    <row r="405" spans="1:6" ht="15" customHeight="1">
      <c r="A405" s="88"/>
      <c r="B405" s="43" t="s">
        <v>524</v>
      </c>
      <c r="C405" s="41"/>
      <c r="D405" s="118">
        <v>1300</v>
      </c>
      <c r="E405" s="41"/>
      <c r="F405" s="41">
        <f t="shared" si="35"/>
        <v>1300</v>
      </c>
    </row>
    <row r="406" spans="1:6" ht="15" customHeight="1">
      <c r="A406" s="88"/>
      <c r="B406" s="43" t="s">
        <v>174</v>
      </c>
      <c r="C406" s="41"/>
      <c r="D406" s="118">
        <v>1318</v>
      </c>
      <c r="E406" s="41"/>
      <c r="F406" s="41">
        <f t="shared" si="35"/>
        <v>1318</v>
      </c>
    </row>
    <row r="407" spans="1:6" ht="15" customHeight="1">
      <c r="A407" s="88"/>
      <c r="B407" s="43" t="s">
        <v>168</v>
      </c>
      <c r="C407" s="41"/>
      <c r="D407" s="118">
        <v>3500</v>
      </c>
      <c r="E407" s="41"/>
      <c r="F407" s="41">
        <f t="shared" si="35"/>
        <v>3500</v>
      </c>
    </row>
    <row r="408" spans="1:6" ht="15" customHeight="1">
      <c r="A408" s="88"/>
      <c r="B408" s="43" t="s">
        <v>47</v>
      </c>
      <c r="C408" s="41"/>
      <c r="D408" s="118">
        <v>2574</v>
      </c>
      <c r="E408" s="41"/>
      <c r="F408" s="41">
        <f t="shared" si="35"/>
        <v>2574</v>
      </c>
    </row>
    <row r="409" spans="1:6" ht="15" customHeight="1">
      <c r="A409" s="88"/>
      <c r="B409" s="43" t="s">
        <v>236</v>
      </c>
      <c r="C409" s="41"/>
      <c r="D409" s="118">
        <v>6300</v>
      </c>
      <c r="E409" s="41"/>
      <c r="F409" s="41">
        <f t="shared" si="35"/>
        <v>6300</v>
      </c>
    </row>
    <row r="410" spans="1:6" ht="19.5" customHeight="1">
      <c r="A410" s="88"/>
      <c r="B410" s="43" t="s">
        <v>708</v>
      </c>
      <c r="C410" s="41"/>
      <c r="D410" s="118">
        <v>1456</v>
      </c>
      <c r="E410" s="41"/>
      <c r="F410" s="41">
        <f t="shared" si="35"/>
        <v>1456</v>
      </c>
    </row>
    <row r="411" spans="1:6" ht="18.75" customHeight="1">
      <c r="A411" s="88"/>
      <c r="B411" s="43" t="s">
        <v>709</v>
      </c>
      <c r="C411" s="41"/>
      <c r="D411" s="118">
        <v>500</v>
      </c>
      <c r="E411" s="41"/>
      <c r="F411" s="41">
        <f t="shared" si="35"/>
        <v>500</v>
      </c>
    </row>
    <row r="412" spans="1:6" ht="15" customHeight="1">
      <c r="A412" s="88"/>
      <c r="B412" s="43" t="s">
        <v>164</v>
      </c>
      <c r="C412" s="41"/>
      <c r="D412" s="118">
        <v>2500</v>
      </c>
      <c r="E412" s="41"/>
      <c r="F412" s="41">
        <f t="shared" si="35"/>
        <v>2500</v>
      </c>
    </row>
    <row r="413" spans="1:6" ht="15" customHeight="1">
      <c r="A413" s="88"/>
      <c r="B413" s="43" t="s">
        <v>261</v>
      </c>
      <c r="C413" s="41"/>
      <c r="D413" s="118">
        <v>110</v>
      </c>
      <c r="E413" s="41"/>
      <c r="F413" s="41">
        <f t="shared" si="35"/>
        <v>110</v>
      </c>
    </row>
    <row r="414" spans="1:6" ht="15" customHeight="1">
      <c r="A414" s="88"/>
      <c r="B414" s="43" t="s">
        <v>171</v>
      </c>
      <c r="C414" s="41"/>
      <c r="D414" s="118">
        <v>1700</v>
      </c>
      <c r="E414" s="41"/>
      <c r="F414" s="41">
        <f t="shared" si="35"/>
        <v>1700</v>
      </c>
    </row>
    <row r="415" spans="1:6" ht="15" customHeight="1">
      <c r="A415" s="88"/>
      <c r="B415" s="43" t="s">
        <v>163</v>
      </c>
      <c r="C415" s="41"/>
      <c r="D415" s="118">
        <v>5440</v>
      </c>
      <c r="E415" s="41"/>
      <c r="F415" s="41">
        <f t="shared" si="35"/>
        <v>5440</v>
      </c>
    </row>
    <row r="416" spans="1:6" ht="15" customHeight="1">
      <c r="A416" s="88"/>
      <c r="B416" s="43" t="s">
        <v>176</v>
      </c>
      <c r="C416" s="41"/>
      <c r="D416" s="118">
        <v>2000</v>
      </c>
      <c r="E416" s="41"/>
      <c r="F416" s="41">
        <f t="shared" si="35"/>
        <v>2000</v>
      </c>
    </row>
    <row r="417" spans="1:6" ht="21" customHeight="1">
      <c r="A417" s="88"/>
      <c r="B417" s="43" t="s">
        <v>744</v>
      </c>
      <c r="C417" s="41"/>
      <c r="D417" s="118">
        <v>5300</v>
      </c>
      <c r="E417" s="41"/>
      <c r="F417" s="41">
        <f t="shared" si="35"/>
        <v>5300</v>
      </c>
    </row>
    <row r="418" spans="1:6" ht="15.75">
      <c r="A418" s="88"/>
      <c r="B418" s="43" t="s">
        <v>510</v>
      </c>
      <c r="C418" s="41"/>
      <c r="D418" s="109">
        <v>2314</v>
      </c>
      <c r="E418" s="41"/>
      <c r="F418" s="41">
        <f t="shared" si="35"/>
        <v>2314</v>
      </c>
    </row>
    <row r="419" spans="1:6" ht="15.75">
      <c r="A419" s="88"/>
      <c r="B419" s="146" t="s">
        <v>130</v>
      </c>
      <c r="C419" s="41"/>
      <c r="D419" s="118">
        <v>1363</v>
      </c>
      <c r="E419" s="41"/>
      <c r="F419" s="41">
        <f t="shared" si="35"/>
        <v>1363</v>
      </c>
    </row>
    <row r="420" spans="1:6" ht="15.75">
      <c r="A420" s="88"/>
      <c r="B420" s="46" t="s">
        <v>131</v>
      </c>
      <c r="C420" s="41"/>
      <c r="D420" s="118">
        <v>1820</v>
      </c>
      <c r="E420" s="41"/>
      <c r="F420" s="41">
        <f t="shared" si="35"/>
        <v>1820</v>
      </c>
    </row>
    <row r="421" spans="1:7" ht="63">
      <c r="A421" s="85" t="s">
        <v>612</v>
      </c>
      <c r="B421" s="91" t="s">
        <v>613</v>
      </c>
      <c r="C421" s="86"/>
      <c r="D421" s="115">
        <f>D422+D424</f>
        <v>75000</v>
      </c>
      <c r="E421" s="41"/>
      <c r="F421" s="115">
        <f t="shared" si="36" ref="F421:F425">=D421</f>
        <v>75000</v>
      </c>
      <c r="G421" s="119"/>
    </row>
    <row r="422" spans="1:6" ht="31.5">
      <c r="A422" s="85" t="s">
        <v>614</v>
      </c>
      <c r="B422" s="91" t="s">
        <v>615</v>
      </c>
      <c r="C422" s="86"/>
      <c r="D422" s="115">
        <f>SUM(D423:D423)</f>
        <v>5000</v>
      </c>
      <c r="E422" s="86"/>
      <c r="F422" s="86">
        <f t="shared" si="36"/>
        <v>5000</v>
      </c>
    </row>
    <row r="423" spans="1:6" ht="15.75">
      <c r="A423" s="88"/>
      <c r="B423" s="46" t="s">
        <v>690</v>
      </c>
      <c r="C423" s="41"/>
      <c r="D423" s="118">
        <v>5000</v>
      </c>
      <c r="E423" s="41"/>
      <c r="F423" s="41">
        <f t="shared" si="36"/>
        <v>5000</v>
      </c>
    </row>
    <row r="424" spans="1:6" ht="15.75">
      <c r="A424" s="85" t="s">
        <v>616</v>
      </c>
      <c r="B424" s="85" t="s">
        <v>617</v>
      </c>
      <c r="C424" s="86"/>
      <c r="D424" s="115">
        <f>SUM(D425:D425)</f>
        <v>70000</v>
      </c>
      <c r="E424" s="86"/>
      <c r="F424" s="86">
        <f>D424</f>
        <v>70000</v>
      </c>
    </row>
    <row r="425" spans="1:6" ht="15.75">
      <c r="A425" s="88"/>
      <c r="B425" s="88" t="s">
        <v>691</v>
      </c>
      <c r="C425" s="41"/>
      <c r="D425" s="118">
        <v>70000</v>
      </c>
      <c r="E425" s="41"/>
      <c r="F425" s="41">
        <f t="shared" si="36"/>
        <v>70000</v>
      </c>
    </row>
    <row r="428" spans="2:2" ht="18.75">
      <c r="B428" s="72" t="s">
        <v>829</v>
      </c>
    </row>
  </sheetData>
  <mergeCells count="5">
    <mergeCell ref="A9:F9"/>
    <mergeCell ref="A11:A12"/>
    <mergeCell ref="B11:B12"/>
    <mergeCell ref="C11:E11"/>
    <mergeCell ref="F11:F12"/>
  </mergeCells>
  <pageMargins left="0.7" right="0.7" top="0.75" bottom="0.75" header="0.3" footer="0.3"/>
  <pageSetup orientation="portrait" paperSize="9" scale="6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8485BBA-F972-494C-8CAA-5534709D26E8}">
  <dimension ref="A1:L317"/>
  <sheetViews>
    <sheetView workbookViewId="0" topLeftCell="A1">
      <selection pane="topLeft" activeCell="H4" sqref="H4"/>
    </sheetView>
  </sheetViews>
  <sheetFormatPr defaultRowHeight="15.75"/>
  <cols>
    <col min="1" max="1" width="14.428571428571429" customWidth="1"/>
    <col min="2" max="2" width="34.714285714285715" style="66" customWidth="1"/>
    <col min="3" max="3" width="17.428571428571427" style="12" customWidth="1"/>
    <col min="4" max="4" width="17.428571428571427" customWidth="1"/>
    <col min="5" max="5" width="15.714285714285714" customWidth="1"/>
    <col min="6" max="6" width="17.428571428571427" customWidth="1"/>
    <col min="7" max="7" width="16.857142857142858" customWidth="1"/>
    <col min="8" max="8" width="17.714285714285715" style="150" customWidth="1"/>
    <col min="9" max="9" width="12.571428571428571" customWidth="1"/>
    <col min="10" max="10" width="14.428571428571429" customWidth="1"/>
  </cols>
  <sheetData>
    <row r="1" spans="1:7" ht="15" customHeight="1">
      <c r="A1" s="6"/>
      <c r="B1" s="71"/>
      <c r="C1" s="6"/>
      <c r="D1" s="7"/>
      <c r="E1" s="7"/>
      <c r="F1" s="6"/>
      <c r="G1" s="7"/>
    </row>
    <row r="2" spans="1:8" ht="15" customHeight="1">
      <c r="A2" s="6"/>
      <c r="B2" s="71"/>
      <c r="C2" s="6"/>
      <c r="D2" s="5"/>
      <c r="E2" s="5"/>
      <c r="F2" s="6"/>
      <c r="G2" s="5"/>
      <c r="H2" s="151" t="s">
        <v>263</v>
      </c>
    </row>
    <row r="3" spans="1:8" ht="15" customHeight="1">
      <c r="A3" s="6"/>
      <c r="B3" s="71"/>
      <c r="C3" s="6"/>
      <c r="D3" s="5"/>
      <c r="E3" s="5"/>
      <c r="F3" s="6"/>
      <c r="G3" s="5"/>
      <c r="H3" s="152" t="s">
        <v>838</v>
      </c>
    </row>
    <row r="4" spans="1:8" ht="15" customHeight="1">
      <c r="A4" s="6"/>
      <c r="B4" s="71"/>
      <c r="C4" s="6"/>
      <c r="D4" s="6"/>
      <c r="E4" s="6"/>
      <c r="F4" s="6"/>
      <c r="G4" s="6"/>
      <c r="H4" s="152" t="s">
        <v>839</v>
      </c>
    </row>
    <row r="5" spans="1:8" ht="15" customHeight="1">
      <c r="A5" s="6"/>
      <c r="B5" s="71"/>
      <c r="C5" s="6"/>
      <c r="D5" s="6"/>
      <c r="E5" s="6"/>
      <c r="F5" s="6"/>
      <c r="G5" s="6"/>
      <c r="H5" s="152" t="s">
        <v>768</v>
      </c>
    </row>
    <row r="6" spans="1:8" ht="15" customHeight="1">
      <c r="A6" s="6"/>
      <c r="B6" s="201"/>
      <c r="C6" s="201"/>
      <c r="D6" s="201"/>
      <c r="E6" s="201"/>
      <c r="F6" s="201"/>
      <c r="G6" s="201"/>
      <c r="H6" s="153"/>
    </row>
    <row r="7" spans="1:8" ht="15" customHeight="1">
      <c r="A7" s="6"/>
      <c r="B7" s="202" t="s">
        <v>771</v>
      </c>
      <c r="C7" s="202"/>
      <c r="D7" s="202"/>
      <c r="E7" s="202"/>
      <c r="F7" s="202"/>
      <c r="G7" s="202"/>
      <c r="H7" s="153"/>
    </row>
    <row r="8" spans="1:8" ht="15" customHeight="1">
      <c r="A8" s="6"/>
      <c r="B8" s="125"/>
      <c r="C8" s="8"/>
      <c r="D8" s="9"/>
      <c r="E8" s="9"/>
      <c r="F8" s="9"/>
      <c r="G8" s="9"/>
      <c r="H8" s="154"/>
    </row>
    <row r="9" spans="1:8" ht="15" customHeight="1">
      <c r="A9" s="203" t="s">
        <v>264</v>
      </c>
      <c r="B9" s="199" t="s">
        <v>265</v>
      </c>
      <c r="C9" s="3"/>
      <c r="D9" s="204" t="s">
        <v>266</v>
      </c>
      <c r="E9" s="204"/>
      <c r="F9" s="204"/>
      <c r="G9" s="204"/>
      <c r="H9" s="200" t="s">
        <v>267</v>
      </c>
    </row>
    <row r="10" spans="1:8" ht="45" customHeight="1">
      <c r="A10" s="203"/>
      <c r="B10" s="199"/>
      <c r="C10" s="52" t="s">
        <v>689</v>
      </c>
      <c r="D10" s="52" t="s">
        <v>268</v>
      </c>
      <c r="E10" s="52" t="s">
        <v>269</v>
      </c>
      <c r="F10" s="52" t="s">
        <v>270</v>
      </c>
      <c r="G10" s="52" t="s">
        <v>271</v>
      </c>
      <c r="H10" s="200"/>
    </row>
    <row r="11" spans="1:10" ht="15" customHeight="1">
      <c r="A11" s="3"/>
      <c r="B11" s="4"/>
      <c r="C11" s="53">
        <f t="shared" si="0" ref="C11:H11">=C12+C44+C48+C104+C173+C184+C230+C294+C81</f>
        <v>938499</v>
      </c>
      <c r="D11" s="53">
        <f t="shared" si="0"/>
        <v>20571097.98</v>
      </c>
      <c r="E11" s="53">
        <f t="shared" si="0"/>
        <v>4905342</v>
      </c>
      <c r="F11" s="53">
        <f t="shared" si="0"/>
        <v>7626637</v>
      </c>
      <c r="G11" s="53">
        <f t="shared" si="0"/>
        <v>1071702</v>
      </c>
      <c r="H11" s="40">
        <f t="shared" si="0"/>
        <v>35113277.980000004</v>
      </c>
      <c r="I11" s="69"/>
      <c r="J11" s="69"/>
    </row>
    <row r="12" spans="1:10" ht="15" customHeight="1">
      <c r="A12" s="2" t="s">
        <v>272</v>
      </c>
      <c r="B12" s="85" t="s">
        <v>273</v>
      </c>
      <c r="C12" s="54">
        <f>SUM(C13:C43)</f>
        <v>5614</v>
      </c>
      <c r="D12" s="54">
        <f t="shared" si="1" ref="D12:G12">=SUM(D13:D43)</f>
        <v>3684427</v>
      </c>
      <c r="E12" s="54">
        <f t="shared" si="1"/>
        <v>12862</v>
      </c>
      <c r="F12" s="54">
        <f t="shared" si="1"/>
        <v>30729</v>
      </c>
      <c r="G12" s="54">
        <f t="shared" si="1"/>
        <v>0</v>
      </c>
      <c r="H12" s="40">
        <f>SUM(H13:H43)</f>
        <v>3733632</v>
      </c>
      <c r="I12" s="69"/>
      <c r="J12" s="69"/>
    </row>
    <row r="13" spans="1:10" ht="15" customHeight="1">
      <c r="A13" s="45"/>
      <c r="B13" s="88" t="s">
        <v>1</v>
      </c>
      <c r="C13" s="55"/>
      <c r="D13" s="42">
        <f>H13-E13-G13-F13-C13</f>
        <v>1522773</v>
      </c>
      <c r="E13" s="42"/>
      <c r="F13" s="42"/>
      <c r="G13" s="42"/>
      <c r="H13" s="40">
        <f>'4.pielikums'!B12</f>
        <v>1522773</v>
      </c>
      <c r="I13" s="69"/>
      <c r="J13" s="69"/>
    </row>
    <row r="14" spans="1:10" ht="15" customHeight="1">
      <c r="A14" s="45"/>
      <c r="B14" s="88" t="s">
        <v>2</v>
      </c>
      <c r="C14" s="55"/>
      <c r="D14" s="42">
        <f t="shared" si="2" ref="D14:D75">=H14-E14-G14-F14-C14</f>
        <v>127701</v>
      </c>
      <c r="E14" s="42"/>
      <c r="F14" s="42"/>
      <c r="G14" s="42"/>
      <c r="H14" s="40">
        <f>'4.pielikums'!B13</f>
        <v>127701</v>
      </c>
      <c r="I14" s="69"/>
      <c r="J14" s="69"/>
    </row>
    <row r="15" spans="1:10" ht="30" customHeight="1">
      <c r="A15" s="45"/>
      <c r="B15" s="111" t="s">
        <v>181</v>
      </c>
      <c r="C15" s="50"/>
      <c r="D15" s="42">
        <f t="shared" si="2"/>
        <v>255015</v>
      </c>
      <c r="E15" s="42"/>
      <c r="F15" s="42"/>
      <c r="G15" s="42"/>
      <c r="H15" s="40">
        <f>'4.pielikums'!B14</f>
        <v>255015</v>
      </c>
      <c r="I15" s="69"/>
      <c r="J15" s="69"/>
    </row>
    <row r="16" spans="1:10" ht="15" customHeight="1">
      <c r="A16" s="45"/>
      <c r="B16" s="111" t="s">
        <v>213</v>
      </c>
      <c r="C16" s="50"/>
      <c r="D16" s="42">
        <f t="shared" si="2"/>
        <v>30000</v>
      </c>
      <c r="E16" s="42"/>
      <c r="F16" s="42"/>
      <c r="G16" s="42"/>
      <c r="H16" s="40">
        <f>'4.pielikums'!B15</f>
        <v>30000</v>
      </c>
      <c r="I16" s="69"/>
      <c r="J16" s="69"/>
    </row>
    <row r="17" spans="1:10" ht="15" customHeight="1">
      <c r="A17" s="45"/>
      <c r="B17" s="111" t="s">
        <v>206</v>
      </c>
      <c r="C17" s="50"/>
      <c r="D17" s="42">
        <f>H17-E17-G17-F17-C17</f>
        <v>46653</v>
      </c>
      <c r="E17" s="42"/>
      <c r="F17" s="42"/>
      <c r="G17" s="42"/>
      <c r="H17" s="40">
        <f>'4.pielikums'!B17</f>
        <v>46653</v>
      </c>
      <c r="I17" s="69"/>
      <c r="J17" s="69"/>
    </row>
    <row r="18" spans="1:10" ht="15" customHeight="1">
      <c r="A18" s="45"/>
      <c r="B18" s="112" t="s">
        <v>3</v>
      </c>
      <c r="C18" s="55"/>
      <c r="D18" s="42">
        <f t="shared" si="2"/>
        <v>37935</v>
      </c>
      <c r="E18" s="42">
        <v>115</v>
      </c>
      <c r="F18" s="42"/>
      <c r="G18" s="42"/>
      <c r="H18" s="40">
        <f>'4.pielikums'!B18</f>
        <v>38050</v>
      </c>
      <c r="I18" s="69"/>
      <c r="J18" s="69"/>
    </row>
    <row r="19" spans="1:10" ht="15" customHeight="1">
      <c r="A19" s="45"/>
      <c r="B19" s="112" t="s">
        <v>95</v>
      </c>
      <c r="C19" s="55"/>
      <c r="D19" s="42">
        <f t="shared" si="2"/>
        <v>59813</v>
      </c>
      <c r="E19" s="42">
        <v>305</v>
      </c>
      <c r="F19" s="42"/>
      <c r="G19" s="42"/>
      <c r="H19" s="40">
        <f>'4.pielikums'!B19</f>
        <v>60118</v>
      </c>
      <c r="I19" s="69"/>
      <c r="J19" s="69"/>
    </row>
    <row r="20" spans="1:10" ht="15" customHeight="1">
      <c r="A20" s="45"/>
      <c r="B20" s="112" t="s">
        <v>4</v>
      </c>
      <c r="C20" s="55"/>
      <c r="D20" s="42">
        <f t="shared" si="2"/>
        <v>26739</v>
      </c>
      <c r="E20" s="42"/>
      <c r="F20" s="42"/>
      <c r="G20" s="42"/>
      <c r="H20" s="40">
        <f>'4.pielikums'!B20</f>
        <v>26739</v>
      </c>
      <c r="I20" s="69"/>
      <c r="J20" s="69"/>
    </row>
    <row r="21" spans="1:10" ht="15" customHeight="1">
      <c r="A21" s="45"/>
      <c r="B21" s="112" t="s">
        <v>5</v>
      </c>
      <c r="C21" s="55"/>
      <c r="D21" s="42">
        <f t="shared" si="2"/>
        <v>39943</v>
      </c>
      <c r="E21" s="41">
        <v>910</v>
      </c>
      <c r="F21" s="42"/>
      <c r="G21" s="42"/>
      <c r="H21" s="40">
        <f>'4.pielikums'!B21</f>
        <v>40853</v>
      </c>
      <c r="I21" s="69"/>
      <c r="J21" s="69"/>
    </row>
    <row r="22" spans="1:10" ht="15" customHeight="1">
      <c r="A22" s="45"/>
      <c r="B22" s="112" t="s">
        <v>6</v>
      </c>
      <c r="C22" s="55"/>
      <c r="D22" s="42">
        <f t="shared" si="2"/>
        <v>24622</v>
      </c>
      <c r="E22" s="42"/>
      <c r="F22" s="42"/>
      <c r="G22" s="42"/>
      <c r="H22" s="40">
        <f>'4.pielikums'!B22</f>
        <v>24622</v>
      </c>
      <c r="I22" s="69"/>
      <c r="J22" s="69"/>
    </row>
    <row r="23" spans="1:10" ht="15" customHeight="1">
      <c r="A23" s="45"/>
      <c r="B23" s="112" t="s">
        <v>7</v>
      </c>
      <c r="C23" s="55"/>
      <c r="D23" s="42">
        <f t="shared" si="2"/>
        <v>32263</v>
      </c>
      <c r="E23" s="42">
        <v>85</v>
      </c>
      <c r="F23" s="42"/>
      <c r="G23" s="42"/>
      <c r="H23" s="40">
        <f>'4.pielikums'!B23</f>
        <v>32348</v>
      </c>
      <c r="I23" s="69"/>
      <c r="J23" s="69"/>
    </row>
    <row r="24" spans="1:10" ht="15" customHeight="1">
      <c r="A24" s="45"/>
      <c r="B24" s="112" t="s">
        <v>8</v>
      </c>
      <c r="C24" s="55"/>
      <c r="D24" s="42">
        <f t="shared" si="2"/>
        <v>40674</v>
      </c>
      <c r="E24" s="42">
        <v>0</v>
      </c>
      <c r="F24" s="42"/>
      <c r="G24" s="42"/>
      <c r="H24" s="40">
        <f>'4.pielikums'!B24</f>
        <v>40674</v>
      </c>
      <c r="I24" s="69"/>
      <c r="J24" s="69"/>
    </row>
    <row r="25" spans="1:10" ht="15" customHeight="1">
      <c r="A25" s="45"/>
      <c r="B25" s="112" t="s">
        <v>96</v>
      </c>
      <c r="C25" s="55"/>
      <c r="D25" s="42">
        <f t="shared" si="2"/>
        <v>44556</v>
      </c>
      <c r="E25" s="42">
        <v>0</v>
      </c>
      <c r="F25" s="42"/>
      <c r="G25" s="42"/>
      <c r="H25" s="40">
        <f>'4.pielikums'!B25</f>
        <v>44556</v>
      </c>
      <c r="I25" s="69"/>
      <c r="J25" s="69"/>
    </row>
    <row r="26" spans="1:10" ht="15" customHeight="1">
      <c r="A26" s="45"/>
      <c r="B26" s="112" t="s">
        <v>137</v>
      </c>
      <c r="C26" s="55"/>
      <c r="D26" s="42">
        <f t="shared" si="2"/>
        <v>30856</v>
      </c>
      <c r="E26" s="42"/>
      <c r="F26" s="42"/>
      <c r="G26" s="42"/>
      <c r="H26" s="40">
        <f>'4.pielikums'!B26</f>
        <v>30856</v>
      </c>
      <c r="I26" s="69"/>
      <c r="J26" s="69"/>
    </row>
    <row r="27" spans="1:10" ht="15" customHeight="1">
      <c r="A27" s="45"/>
      <c r="B27" s="112" t="s">
        <v>9</v>
      </c>
      <c r="C27" s="55"/>
      <c r="D27" s="42">
        <f>H27-E27-G27-F27-C27</f>
        <v>20735</v>
      </c>
      <c r="E27" s="42"/>
      <c r="F27" s="42"/>
      <c r="G27" s="42"/>
      <c r="H27" s="40">
        <f>'4.pielikums'!B27</f>
        <v>20735</v>
      </c>
      <c r="I27" s="69"/>
      <c r="J27" s="69"/>
    </row>
    <row r="28" spans="1:10" ht="15" customHeight="1">
      <c r="A28" s="45"/>
      <c r="B28" s="111" t="s">
        <v>97</v>
      </c>
      <c r="C28" s="50"/>
      <c r="D28" s="42">
        <f t="shared" si="2"/>
        <v>34119</v>
      </c>
      <c r="E28" s="102"/>
      <c r="F28" s="42"/>
      <c r="G28" s="42"/>
      <c r="H28" s="40">
        <f>'4.pielikums'!B28</f>
        <v>34119</v>
      </c>
      <c r="I28" s="69"/>
      <c r="J28" s="69"/>
    </row>
    <row r="29" spans="1:10" ht="15" customHeight="1">
      <c r="A29" s="45"/>
      <c r="B29" s="111" t="s">
        <v>274</v>
      </c>
      <c r="C29" s="50"/>
      <c r="D29" s="42">
        <f t="shared" si="2"/>
        <v>37292</v>
      </c>
      <c r="E29" s="42">
        <v>1200</v>
      </c>
      <c r="F29" s="42"/>
      <c r="G29" s="42"/>
      <c r="H29" s="40">
        <f>'4.pielikums'!B29</f>
        <v>38492</v>
      </c>
      <c r="I29" s="69"/>
      <c r="J29" s="69"/>
    </row>
    <row r="30" spans="1:10" ht="15" customHeight="1">
      <c r="A30" s="45"/>
      <c r="B30" s="111" t="s">
        <v>98</v>
      </c>
      <c r="C30" s="50"/>
      <c r="D30" s="42">
        <f t="shared" si="2"/>
        <v>20500</v>
      </c>
      <c r="E30" s="42"/>
      <c r="F30" s="42"/>
      <c r="G30" s="42"/>
      <c r="H30" s="40">
        <f>'4.pielikums'!B30</f>
        <v>20500</v>
      </c>
      <c r="I30" s="69"/>
      <c r="J30" s="69"/>
    </row>
    <row r="31" spans="1:10" ht="15" customHeight="1">
      <c r="A31" s="45"/>
      <c r="B31" s="111" t="s">
        <v>99</v>
      </c>
      <c r="C31" s="50"/>
      <c r="D31" s="42">
        <f t="shared" si="2"/>
        <v>44173</v>
      </c>
      <c r="E31" s="42"/>
      <c r="F31" s="42"/>
      <c r="G31" s="42"/>
      <c r="H31" s="40">
        <f>'4.pielikums'!B31</f>
        <v>44173</v>
      </c>
      <c r="I31" s="69"/>
      <c r="J31" s="69"/>
    </row>
    <row r="32" spans="1:10" ht="15" customHeight="1">
      <c r="A32" s="45"/>
      <c r="B32" s="112" t="s">
        <v>10</v>
      </c>
      <c r="C32" s="55"/>
      <c r="D32" s="42">
        <f t="shared" si="2"/>
        <v>35893</v>
      </c>
      <c r="E32" s="42">
        <f>500</f>
        <v>500</v>
      </c>
      <c r="F32" s="42"/>
      <c r="G32" s="42"/>
      <c r="H32" s="40">
        <f>'4.pielikums'!B32</f>
        <v>36393</v>
      </c>
      <c r="I32" s="69"/>
      <c r="J32" s="69"/>
    </row>
    <row r="33" spans="1:10" ht="15" customHeight="1">
      <c r="A33" s="45"/>
      <c r="B33" s="112" t="s">
        <v>11</v>
      </c>
      <c r="C33" s="55"/>
      <c r="D33" s="42">
        <f t="shared" si="2"/>
        <v>30369</v>
      </c>
      <c r="E33" s="42"/>
      <c r="F33" s="42"/>
      <c r="G33" s="42"/>
      <c r="H33" s="40">
        <f>'4.pielikums'!B33</f>
        <v>30369</v>
      </c>
      <c r="I33" s="69"/>
      <c r="J33" s="69"/>
    </row>
    <row r="34" spans="1:10" ht="15" customHeight="1">
      <c r="A34" s="45"/>
      <c r="B34" s="112" t="s">
        <v>100</v>
      </c>
      <c r="C34" s="55"/>
      <c r="D34" s="42">
        <f t="shared" si="2"/>
        <v>31242</v>
      </c>
      <c r="E34" s="42"/>
      <c r="F34" s="42"/>
      <c r="G34" s="42"/>
      <c r="H34" s="40">
        <f>'4.pielikums'!B34</f>
        <v>31242</v>
      </c>
      <c r="I34" s="69"/>
      <c r="J34" s="69"/>
    </row>
    <row r="35" spans="1:10" ht="15" customHeight="1">
      <c r="A35" s="45"/>
      <c r="B35" s="112" t="s">
        <v>12</v>
      </c>
      <c r="C35" s="55"/>
      <c r="D35" s="42">
        <f t="shared" si="2"/>
        <v>39006</v>
      </c>
      <c r="E35" s="42">
        <f>67</f>
        <v>67</v>
      </c>
      <c r="F35" s="42"/>
      <c r="G35" s="42"/>
      <c r="H35" s="40">
        <f>'4.pielikums'!B35</f>
        <v>39073</v>
      </c>
      <c r="I35" s="69"/>
      <c r="J35" s="69"/>
    </row>
    <row r="36" spans="1:10" ht="15" customHeight="1">
      <c r="A36" s="45"/>
      <c r="B36" s="111" t="s">
        <v>93</v>
      </c>
      <c r="C36" s="50"/>
      <c r="D36" s="42">
        <f t="shared" si="2"/>
        <v>50449</v>
      </c>
      <c r="E36" s="42">
        <v>1130</v>
      </c>
      <c r="F36" s="42"/>
      <c r="G36" s="42"/>
      <c r="H36" s="40">
        <f>'4.pielikums'!B36</f>
        <v>51579</v>
      </c>
      <c r="I36" s="69"/>
      <c r="J36" s="69"/>
    </row>
    <row r="37" spans="1:10" ht="15" customHeight="1">
      <c r="A37" s="45"/>
      <c r="B37" s="111" t="s">
        <v>101</v>
      </c>
      <c r="C37" s="50"/>
      <c r="D37" s="42">
        <f t="shared" si="2"/>
        <v>34189</v>
      </c>
      <c r="E37" s="42"/>
      <c r="F37" s="42"/>
      <c r="G37" s="42"/>
      <c r="H37" s="40">
        <f>'4.pielikums'!B37</f>
        <v>34189</v>
      </c>
      <c r="I37" s="69"/>
      <c r="J37" s="69"/>
    </row>
    <row r="38" spans="1:10" ht="30" customHeight="1">
      <c r="A38" s="45"/>
      <c r="B38" s="111" t="s">
        <v>94</v>
      </c>
      <c r="C38" s="50"/>
      <c r="D38" s="42">
        <f t="shared" si="2"/>
        <v>57276</v>
      </c>
      <c r="E38" s="42">
        <v>8550</v>
      </c>
      <c r="F38" s="42">
        <v>26000</v>
      </c>
      <c r="G38" s="42"/>
      <c r="H38" s="40">
        <f>'4.pielikums'!B38</f>
        <v>91826</v>
      </c>
      <c r="I38" s="69"/>
      <c r="J38" s="69"/>
    </row>
    <row r="39" spans="1:10" ht="30" customHeight="1">
      <c r="A39" s="45"/>
      <c r="B39" s="111" t="s">
        <v>184</v>
      </c>
      <c r="C39" s="50"/>
      <c r="D39" s="42">
        <f t="shared" si="2"/>
        <v>881967</v>
      </c>
      <c r="E39" s="42"/>
      <c r="F39" s="42"/>
      <c r="G39" s="42"/>
      <c r="H39" s="40">
        <f>'4.pielikums'!B41</f>
        <v>881967</v>
      </c>
      <c r="I39" s="69"/>
      <c r="J39" s="69"/>
    </row>
    <row r="40" spans="1:10" ht="15" customHeight="1">
      <c r="A40" s="45"/>
      <c r="B40" s="64" t="s">
        <v>13</v>
      </c>
      <c r="C40" s="50"/>
      <c r="D40" s="42">
        <f t="shared" si="2"/>
        <v>6000</v>
      </c>
      <c r="E40" s="42"/>
      <c r="F40" s="42"/>
      <c r="G40" s="42"/>
      <c r="H40" s="40">
        <f>'4.pielikums'!B39</f>
        <v>6000</v>
      </c>
      <c r="I40" s="69"/>
      <c r="J40" s="69"/>
    </row>
    <row r="41" spans="1:10" ht="15" customHeight="1">
      <c r="A41" s="45"/>
      <c r="B41" s="88" t="s">
        <v>14</v>
      </c>
      <c r="C41" s="55"/>
      <c r="D41" s="42">
        <f t="shared" si="2"/>
        <v>41674</v>
      </c>
      <c r="E41" s="42"/>
      <c r="F41" s="42"/>
      <c r="G41" s="42"/>
      <c r="H41" s="40">
        <f>'4.pielikums'!B40</f>
        <v>41674</v>
      </c>
      <c r="I41" s="69"/>
      <c r="J41" s="69"/>
    </row>
    <row r="42" spans="1:10" ht="15" customHeight="1">
      <c r="A42" s="45"/>
      <c r="B42" s="88" t="s">
        <v>822</v>
      </c>
      <c r="C42" s="55"/>
      <c r="D42" s="42">
        <f t="shared" si="2"/>
        <v>0</v>
      </c>
      <c r="E42" s="42"/>
      <c r="F42" s="42">
        <v>4729</v>
      </c>
      <c r="G42" s="42"/>
      <c r="H42" s="40">
        <f>'4.pielikums'!B16</f>
        <v>4729</v>
      </c>
      <c r="I42" s="69"/>
      <c r="J42" s="69"/>
    </row>
    <row r="43" spans="1:10" ht="15" customHeight="1">
      <c r="A43" s="45"/>
      <c r="B43" s="88" t="s">
        <v>785</v>
      </c>
      <c r="C43" s="55">
        <v>5614</v>
      </c>
      <c r="D43" s="42"/>
      <c r="E43" s="42"/>
      <c r="F43" s="42"/>
      <c r="G43" s="42"/>
      <c r="H43" s="40">
        <f>'4.pielikums'!B292</f>
        <v>5614</v>
      </c>
      <c r="I43" s="69"/>
      <c r="J43" s="69"/>
    </row>
    <row r="44" spans="1:10" ht="15" customHeight="1">
      <c r="A44" s="2" t="s">
        <v>275</v>
      </c>
      <c r="B44" s="91" t="s">
        <v>276</v>
      </c>
      <c r="C44" s="54">
        <f>SUM(C45:C47)</f>
        <v>0</v>
      </c>
      <c r="D44" s="54">
        <f t="shared" si="3" ref="D44:G44">=SUM(D45:D47)</f>
        <v>290229</v>
      </c>
      <c r="E44" s="54">
        <f t="shared" si="3"/>
        <v>24440</v>
      </c>
      <c r="F44" s="54">
        <f t="shared" si="3"/>
        <v>8025</v>
      </c>
      <c r="G44" s="54">
        <f t="shared" si="3"/>
        <v>0</v>
      </c>
      <c r="H44" s="40">
        <f>SUM(H45:H47)</f>
        <v>322694</v>
      </c>
      <c r="I44" s="69"/>
      <c r="J44" s="69"/>
    </row>
    <row r="45" spans="1:10" ht="15" customHeight="1">
      <c r="A45" s="56"/>
      <c r="B45" s="88" t="s">
        <v>15</v>
      </c>
      <c r="C45" s="55"/>
      <c r="D45" s="42">
        <f t="shared" si="2"/>
        <v>71921</v>
      </c>
      <c r="E45" s="109">
        <f>1400+1340+1200</f>
        <v>3940</v>
      </c>
      <c r="F45" s="42"/>
      <c r="G45" s="42"/>
      <c r="H45" s="40">
        <f>'4.pielikums'!B42</f>
        <v>75861</v>
      </c>
      <c r="I45" s="69"/>
      <c r="J45" s="69"/>
    </row>
    <row r="46" spans="1:10" ht="15" customHeight="1">
      <c r="A46" s="45"/>
      <c r="B46" s="88" t="s">
        <v>16</v>
      </c>
      <c r="C46" s="55"/>
      <c r="D46" s="42">
        <f t="shared" si="2"/>
        <v>179947</v>
      </c>
      <c r="E46" s="109">
        <v>2000</v>
      </c>
      <c r="F46" s="42"/>
      <c r="G46" s="42"/>
      <c r="H46" s="40">
        <f>'4.pielikums'!B43</f>
        <v>181947</v>
      </c>
      <c r="I46" s="69"/>
      <c r="J46" s="69"/>
    </row>
    <row r="47" spans="1:10" ht="15" customHeight="1">
      <c r="A47" s="45"/>
      <c r="B47" s="88" t="s">
        <v>60</v>
      </c>
      <c r="C47" s="55"/>
      <c r="D47" s="42">
        <f t="shared" si="2"/>
        <v>38361</v>
      </c>
      <c r="E47" s="109">
        <v>18500</v>
      </c>
      <c r="F47" s="42">
        <v>8025</v>
      </c>
      <c r="G47" s="42"/>
      <c r="H47" s="40">
        <f>'4.pielikums'!B44</f>
        <v>64886</v>
      </c>
      <c r="I47" s="69"/>
      <c r="J47" s="69"/>
    </row>
    <row r="48" spans="1:10" ht="15" customHeight="1">
      <c r="A48" s="2" t="s">
        <v>277</v>
      </c>
      <c r="B48" s="85" t="s">
        <v>278</v>
      </c>
      <c r="C48" s="59">
        <f>SUM(C49:C80)</f>
        <v>469913</v>
      </c>
      <c r="D48" s="59">
        <f t="shared" si="4" ref="D48:G48">=SUM(D49:D80)</f>
        <v>300432</v>
      </c>
      <c r="E48" s="59">
        <f t="shared" si="4"/>
        <v>19750</v>
      </c>
      <c r="F48" s="59">
        <f t="shared" si="4"/>
        <v>1077702</v>
      </c>
      <c r="G48" s="59">
        <f t="shared" si="4"/>
        <v>310704</v>
      </c>
      <c r="H48" s="40">
        <f>SUM(H49:H80)</f>
        <v>2178501</v>
      </c>
      <c r="I48" s="69"/>
      <c r="J48" s="69"/>
    </row>
    <row r="49" spans="1:10" ht="15" customHeight="1">
      <c r="A49" s="56"/>
      <c r="B49" s="88" t="s">
        <v>279</v>
      </c>
      <c r="C49" s="55"/>
      <c r="D49" s="42">
        <f t="shared" si="2"/>
        <v>49824</v>
      </c>
      <c r="E49" s="109">
        <f>10000</f>
        <v>10000</v>
      </c>
      <c r="F49" s="42"/>
      <c r="G49" s="42"/>
      <c r="H49" s="40">
        <f>'4.pielikums'!B45</f>
        <v>59824</v>
      </c>
      <c r="I49" s="69"/>
      <c r="J49" s="69"/>
    </row>
    <row r="50" spans="1:10" ht="30" customHeight="1">
      <c r="A50" s="45"/>
      <c r="B50" s="64" t="s">
        <v>280</v>
      </c>
      <c r="C50" s="50"/>
      <c r="D50" s="42">
        <f t="shared" si="2"/>
        <v>89707</v>
      </c>
      <c r="E50" s="42">
        <v>4000</v>
      </c>
      <c r="F50" s="102"/>
      <c r="G50" s="42"/>
      <c r="H50" s="40">
        <f>'4.pielikums'!B48</f>
        <v>93707</v>
      </c>
      <c r="I50" s="69"/>
      <c r="J50" s="69"/>
    </row>
    <row r="51" spans="1:10" ht="23.25" customHeight="1">
      <c r="A51" s="45"/>
      <c r="B51" s="64" t="s">
        <v>139</v>
      </c>
      <c r="C51" s="50">
        <v>9632</v>
      </c>
      <c r="D51" s="42">
        <f t="shared" si="2"/>
        <v>743</v>
      </c>
      <c r="E51" s="42"/>
      <c r="F51" s="41">
        <v>60100</v>
      </c>
      <c r="G51" s="42"/>
      <c r="H51" s="40">
        <f>'4.pielikums'!B72</f>
        <v>70475</v>
      </c>
      <c r="I51" s="69"/>
      <c r="J51" s="69"/>
    </row>
    <row r="52" spans="1:11" ht="15" customHeight="1">
      <c r="A52" s="57"/>
      <c r="B52" s="63" t="s">
        <v>68</v>
      </c>
      <c r="C52" s="50"/>
      <c r="D52" s="42">
        <f>H52-E52-G52-F52-C52</f>
        <v>0</v>
      </c>
      <c r="E52" s="42"/>
      <c r="F52" s="42">
        <v>104110</v>
      </c>
      <c r="G52" s="42"/>
      <c r="H52" s="40">
        <f>'4.pielikums'!B50</f>
        <v>104110</v>
      </c>
      <c r="I52" s="69"/>
      <c r="J52" s="69"/>
      <c r="K52" s="75"/>
    </row>
    <row r="53" spans="1:10" ht="30" customHeight="1">
      <c r="A53" s="57"/>
      <c r="B53" s="63" t="s">
        <v>223</v>
      </c>
      <c r="C53" s="50">
        <v>8828</v>
      </c>
      <c r="D53" s="42">
        <f t="shared" si="2"/>
        <v>0</v>
      </c>
      <c r="E53" s="42"/>
      <c r="F53" s="42">
        <v>56751</v>
      </c>
      <c r="G53" s="42"/>
      <c r="H53" s="40">
        <f>'4.pielikums'!B51</f>
        <v>65579</v>
      </c>
      <c r="I53" s="69"/>
      <c r="J53" s="69"/>
    </row>
    <row r="54" spans="1:10" ht="30" customHeight="1">
      <c r="A54" s="57"/>
      <c r="B54" s="63" t="s">
        <v>69</v>
      </c>
      <c r="C54" s="49">
        <v>649</v>
      </c>
      <c r="D54" s="42">
        <f t="shared" si="2"/>
        <v>0</v>
      </c>
      <c r="E54" s="42"/>
      <c r="F54" s="42">
        <v>27900</v>
      </c>
      <c r="G54" s="42"/>
      <c r="H54" s="40">
        <f>'4.pielikums'!B52</f>
        <v>28549</v>
      </c>
      <c r="I54" s="69"/>
      <c r="J54" s="69"/>
    </row>
    <row r="55" spans="1:10" ht="30" customHeight="1">
      <c r="A55" s="57"/>
      <c r="B55" s="63" t="s">
        <v>70</v>
      </c>
      <c r="C55" s="49">
        <v>4366</v>
      </c>
      <c r="D55" s="42">
        <f t="shared" si="2"/>
        <v>0</v>
      </c>
      <c r="E55" s="42"/>
      <c r="F55" s="42">
        <v>20386</v>
      </c>
      <c r="G55" s="42"/>
      <c r="H55" s="40">
        <f>'4.pielikums'!B53</f>
        <v>24752</v>
      </c>
      <c r="I55" s="69"/>
      <c r="J55" s="69"/>
    </row>
    <row r="56" spans="1:10" ht="30" customHeight="1">
      <c r="A56" s="57"/>
      <c r="B56" s="63" t="s">
        <v>71</v>
      </c>
      <c r="C56" s="49">
        <v>25610</v>
      </c>
      <c r="D56" s="42">
        <f t="shared" si="2"/>
        <v>0</v>
      </c>
      <c r="E56" s="42"/>
      <c r="F56" s="42">
        <v>44096</v>
      </c>
      <c r="G56" s="42"/>
      <c r="H56" s="40">
        <f>'4.pielikums'!B54</f>
        <v>69706</v>
      </c>
      <c r="I56" s="69"/>
      <c r="J56" s="69"/>
    </row>
    <row r="57" spans="1:10" ht="30" customHeight="1">
      <c r="A57" s="57"/>
      <c r="B57" s="63" t="s">
        <v>72</v>
      </c>
      <c r="C57" s="49">
        <v>14147</v>
      </c>
      <c r="D57" s="42">
        <f t="shared" si="2"/>
        <v>0</v>
      </c>
      <c r="E57" s="42"/>
      <c r="F57" s="42">
        <v>23821</v>
      </c>
      <c r="G57" s="42"/>
      <c r="H57" s="40">
        <f>'4.pielikums'!B55</f>
        <v>37968</v>
      </c>
      <c r="I57" s="69"/>
      <c r="J57" s="69"/>
    </row>
    <row r="58" spans="1:10" ht="30" customHeight="1">
      <c r="A58" s="57"/>
      <c r="B58" s="63" t="s">
        <v>73</v>
      </c>
      <c r="C58" s="49">
        <v>6916</v>
      </c>
      <c r="D58" s="42">
        <f>H58-E58-G58-F58-C58</f>
        <v>0</v>
      </c>
      <c r="E58" s="42"/>
      <c r="F58" s="42">
        <v>18272</v>
      </c>
      <c r="G58" s="42"/>
      <c r="H58" s="40">
        <f>'4.pielikums'!B56</f>
        <v>25188</v>
      </c>
      <c r="I58" s="69"/>
      <c r="J58" s="69"/>
    </row>
    <row r="59" spans="1:10" ht="30" customHeight="1">
      <c r="A59" s="57"/>
      <c r="B59" s="63" t="s">
        <v>74</v>
      </c>
      <c r="C59" s="49"/>
      <c r="D59" s="42">
        <f t="shared" si="2"/>
        <v>0</v>
      </c>
      <c r="E59" s="42"/>
      <c r="F59" s="42">
        <v>34470</v>
      </c>
      <c r="G59" s="42"/>
      <c r="H59" s="40">
        <f>'4.pielikums'!B57</f>
        <v>34470</v>
      </c>
      <c r="I59" s="69"/>
      <c r="J59" s="69"/>
    </row>
    <row r="60" spans="1:10" ht="30" customHeight="1">
      <c r="A60" s="57"/>
      <c r="B60" s="63" t="s">
        <v>221</v>
      </c>
      <c r="C60" s="49">
        <v>5988</v>
      </c>
      <c r="D60" s="42">
        <f t="shared" si="2"/>
        <v>0</v>
      </c>
      <c r="E60" s="42"/>
      <c r="F60" s="42">
        <v>11227</v>
      </c>
      <c r="G60" s="42"/>
      <c r="H60" s="40">
        <f>'4.pielikums'!B58</f>
        <v>17215</v>
      </c>
      <c r="I60" s="69"/>
      <c r="J60" s="69"/>
    </row>
    <row r="61" spans="1:10" ht="30" customHeight="1">
      <c r="A61" s="57"/>
      <c r="B61" s="63" t="s">
        <v>75</v>
      </c>
      <c r="C61" s="49">
        <v>624</v>
      </c>
      <c r="D61" s="42">
        <f t="shared" si="2"/>
        <v>0</v>
      </c>
      <c r="E61" s="42"/>
      <c r="F61" s="42">
        <v>14851</v>
      </c>
      <c r="G61" s="42"/>
      <c r="H61" s="40">
        <f>'4.pielikums'!B59</f>
        <v>15475</v>
      </c>
      <c r="I61" s="69"/>
      <c r="J61" s="69"/>
    </row>
    <row r="62" spans="1:10" ht="30" customHeight="1">
      <c r="A62" s="57"/>
      <c r="B62" s="63" t="s">
        <v>219</v>
      </c>
      <c r="C62" s="49">
        <v>21204</v>
      </c>
      <c r="D62" s="42">
        <f>H62-E62-G62-F62-C62</f>
        <v>0</v>
      </c>
      <c r="E62" s="42"/>
      <c r="F62" s="42">
        <v>48840</v>
      </c>
      <c r="G62" s="42"/>
      <c r="H62" s="40">
        <f>'4.pielikums'!B60</f>
        <v>70044</v>
      </c>
      <c r="I62" s="69"/>
      <c r="J62" s="69"/>
    </row>
    <row r="63" spans="1:10" ht="30" customHeight="1">
      <c r="A63" s="57"/>
      <c r="B63" s="63" t="s">
        <v>220</v>
      </c>
      <c r="C63" s="49">
        <v>4426</v>
      </c>
      <c r="D63" s="42">
        <f t="shared" si="2"/>
        <v>0</v>
      </c>
      <c r="E63" s="42"/>
      <c r="F63" s="42">
        <v>35064</v>
      </c>
      <c r="G63" s="42"/>
      <c r="H63" s="40">
        <f>'4.pielikums'!B61</f>
        <v>39490</v>
      </c>
      <c r="I63" s="69"/>
      <c r="J63" s="69"/>
    </row>
    <row r="64" spans="1:10" ht="30" customHeight="1">
      <c r="A64" s="57"/>
      <c r="B64" s="63" t="s">
        <v>222</v>
      </c>
      <c r="C64" s="49">
        <v>202031</v>
      </c>
      <c r="D64" s="42">
        <f t="shared" si="2"/>
        <v>0</v>
      </c>
      <c r="E64" s="42"/>
      <c r="F64" s="42">
        <v>70422</v>
      </c>
      <c r="G64" s="42"/>
      <c r="H64" s="40">
        <f>'4.pielikums'!B62</f>
        <v>272453</v>
      </c>
      <c r="I64" s="69"/>
      <c r="J64" s="69"/>
    </row>
    <row r="65" spans="1:10" ht="30" customHeight="1">
      <c r="A65" s="57"/>
      <c r="B65" s="63" t="s">
        <v>224</v>
      </c>
      <c r="C65" s="49">
        <v>21990</v>
      </c>
      <c r="D65" s="42">
        <f>H65-E65-G65-F65-C65</f>
        <v>0</v>
      </c>
      <c r="E65" s="42"/>
      <c r="F65" s="42">
        <v>30329</v>
      </c>
      <c r="G65" s="42"/>
      <c r="H65" s="40">
        <f>'4.pielikums'!B63</f>
        <v>52319</v>
      </c>
      <c r="I65" s="69"/>
      <c r="J65" s="69"/>
    </row>
    <row r="66" spans="1:10" ht="30" customHeight="1">
      <c r="A66" s="57"/>
      <c r="B66" s="63" t="s">
        <v>225</v>
      </c>
      <c r="C66" s="49">
        <v>31095</v>
      </c>
      <c r="D66" s="42">
        <f t="shared" si="2"/>
        <v>0</v>
      </c>
      <c r="E66" s="42"/>
      <c r="F66" s="42">
        <v>52426</v>
      </c>
      <c r="G66" s="42"/>
      <c r="H66" s="40">
        <f>'4.pielikums'!B64</f>
        <v>83521</v>
      </c>
      <c r="I66" s="69"/>
      <c r="J66" s="69"/>
    </row>
    <row r="67" spans="1:10" ht="30" customHeight="1">
      <c r="A67" s="57"/>
      <c r="B67" s="63" t="s">
        <v>76</v>
      </c>
      <c r="C67" s="49">
        <v>10270</v>
      </c>
      <c r="D67" s="42">
        <f t="shared" si="2"/>
        <v>0</v>
      </c>
      <c r="E67" s="42"/>
      <c r="F67" s="42">
        <v>38359</v>
      </c>
      <c r="G67" s="42"/>
      <c r="H67" s="40">
        <f>'4.pielikums'!B65</f>
        <v>48629</v>
      </c>
      <c r="I67" s="69"/>
      <c r="J67" s="69"/>
    </row>
    <row r="68" spans="1:10" ht="30" customHeight="1">
      <c r="A68" s="57"/>
      <c r="B68" s="63" t="s">
        <v>77</v>
      </c>
      <c r="C68" s="49">
        <v>6493</v>
      </c>
      <c r="D68" s="42">
        <f t="shared" si="2"/>
        <v>0</v>
      </c>
      <c r="E68" s="42"/>
      <c r="F68" s="42">
        <v>13853</v>
      </c>
      <c r="G68" s="42"/>
      <c r="H68" s="40">
        <f>'4.pielikums'!B66</f>
        <v>20346</v>
      </c>
      <c r="I68" s="69"/>
      <c r="J68" s="69"/>
    </row>
    <row r="69" spans="1:10" ht="30" customHeight="1">
      <c r="A69" s="57"/>
      <c r="B69" s="63" t="s">
        <v>228</v>
      </c>
      <c r="C69" s="50">
        <v>7757</v>
      </c>
      <c r="D69" s="42">
        <f t="shared" si="2"/>
        <v>0</v>
      </c>
      <c r="E69" s="42"/>
      <c r="F69" s="42">
        <v>23929</v>
      </c>
      <c r="G69" s="42"/>
      <c r="H69" s="40">
        <f>'4.pielikums'!B67</f>
        <v>31686</v>
      </c>
      <c r="I69" s="69"/>
      <c r="J69" s="69"/>
    </row>
    <row r="70" spans="1:10" ht="30" customHeight="1">
      <c r="A70" s="57"/>
      <c r="B70" s="63" t="s">
        <v>78</v>
      </c>
      <c r="C70" s="49">
        <v>6092</v>
      </c>
      <c r="D70" s="42">
        <f t="shared" si="2"/>
        <v>0</v>
      </c>
      <c r="E70" s="42"/>
      <c r="F70" s="42">
        <v>23719</v>
      </c>
      <c r="G70" s="42"/>
      <c r="H70" s="40">
        <f>'4.pielikums'!B68</f>
        <v>29811</v>
      </c>
      <c r="I70" s="69"/>
      <c r="J70" s="69"/>
    </row>
    <row r="71" spans="1:10" ht="30" customHeight="1">
      <c r="A71" s="57"/>
      <c r="B71" s="63" t="s">
        <v>226</v>
      </c>
      <c r="C71" s="49">
        <v>411</v>
      </c>
      <c r="D71" s="42">
        <f t="shared" si="2"/>
        <v>0</v>
      </c>
      <c r="E71" s="42"/>
      <c r="F71" s="42">
        <v>9382</v>
      </c>
      <c r="G71" s="42"/>
      <c r="H71" s="40">
        <f>'4.pielikums'!B69</f>
        <v>9793</v>
      </c>
      <c r="I71" s="69"/>
      <c r="J71" s="69"/>
    </row>
    <row r="72" spans="1:11" ht="30" customHeight="1">
      <c r="A72" s="57"/>
      <c r="B72" s="63" t="s">
        <v>227</v>
      </c>
      <c r="C72" s="103"/>
      <c r="D72" s="42">
        <f t="shared" si="2"/>
        <v>0</v>
      </c>
      <c r="E72" s="42"/>
      <c r="F72" s="42">
        <v>24565</v>
      </c>
      <c r="G72" s="42"/>
      <c r="H72" s="40">
        <f>'4.pielikums'!B70</f>
        <v>24565</v>
      </c>
      <c r="I72" s="69"/>
      <c r="J72" s="69"/>
      <c r="K72" s="69"/>
    </row>
    <row r="73" spans="1:12" ht="30" customHeight="1">
      <c r="A73" s="57"/>
      <c r="B73" s="126" t="s">
        <v>737</v>
      </c>
      <c r="C73" s="50">
        <f>81384-18861</f>
        <v>62523</v>
      </c>
      <c r="D73" s="42">
        <f>H73-E73-G73-F73-C73</f>
        <v>0</v>
      </c>
      <c r="E73" s="42"/>
      <c r="F73" s="42">
        <v>236363</v>
      </c>
      <c r="G73" s="42"/>
      <c r="H73" s="40">
        <f>'4.pielikums'!B71</f>
        <v>298886</v>
      </c>
      <c r="I73" s="69"/>
      <c r="J73" s="69"/>
      <c r="K73" s="69"/>
      <c r="L73" s="69"/>
    </row>
    <row r="74" spans="1:10" ht="15" customHeight="1">
      <c r="A74" s="57"/>
      <c r="B74" s="127" t="s">
        <v>140</v>
      </c>
      <c r="C74" s="50"/>
      <c r="D74" s="42">
        <f t="shared" si="2"/>
        <v>12914</v>
      </c>
      <c r="E74" s="109">
        <v>5750</v>
      </c>
      <c r="F74" s="42"/>
      <c r="G74" s="42"/>
      <c r="H74" s="40">
        <f>'4.pielikums'!B73</f>
        <v>18664</v>
      </c>
      <c r="I74" s="69"/>
      <c r="J74" s="69"/>
    </row>
    <row r="75" spans="1:10" ht="30" customHeight="1">
      <c r="A75" s="45"/>
      <c r="B75" s="64" t="s">
        <v>63</v>
      </c>
      <c r="C75" s="50"/>
      <c r="D75" s="42">
        <f t="shared" si="2"/>
        <v>3244</v>
      </c>
      <c r="E75" s="42"/>
      <c r="F75" s="42"/>
      <c r="G75" s="42"/>
      <c r="H75" s="40">
        <f>'4.pielikums'!B47</f>
        <v>3244</v>
      </c>
      <c r="I75" s="69"/>
      <c r="J75" s="69"/>
    </row>
    <row r="76" spans="1:10" ht="15" customHeight="1">
      <c r="A76" s="45"/>
      <c r="B76" s="64" t="s">
        <v>18</v>
      </c>
      <c r="C76" s="50"/>
      <c r="D76" s="42">
        <f t="shared" si="5" ref="D76:D103">=H76-E76-G76-F76-C76</f>
        <v>90000</v>
      </c>
      <c r="E76" s="42"/>
      <c r="F76" s="42"/>
      <c r="G76" s="42"/>
      <c r="H76" s="40">
        <f>'4.pielikums'!B46</f>
        <v>90000</v>
      </c>
      <c r="I76" s="69"/>
      <c r="J76" s="69"/>
    </row>
    <row r="77" spans="1:10" ht="18" customHeight="1">
      <c r="A77" s="45"/>
      <c r="B77" s="64" t="s">
        <v>281</v>
      </c>
      <c r="C77" s="50"/>
      <c r="D77" s="42">
        <f t="shared" si="5"/>
        <v>50000</v>
      </c>
      <c r="E77" s="42"/>
      <c r="F77" s="42"/>
      <c r="G77" s="42"/>
      <c r="H77" s="40">
        <f>'4.pielikums'!B49</f>
        <v>50000</v>
      </c>
      <c r="I77" s="69"/>
      <c r="J77" s="69"/>
    </row>
    <row r="78" spans="1:10" ht="19.5" customHeight="1">
      <c r="A78" s="45"/>
      <c r="B78" s="64" t="s">
        <v>767</v>
      </c>
      <c r="C78" s="50">
        <v>18861</v>
      </c>
      <c r="D78" s="42">
        <f t="shared" si="5"/>
        <v>0</v>
      </c>
      <c r="E78" s="42"/>
      <c r="F78" s="42"/>
      <c r="G78" s="42">
        <v>169752</v>
      </c>
      <c r="H78" s="40">
        <f>'4.pielikums'!B287</f>
        <v>188613</v>
      </c>
      <c r="I78" s="69"/>
      <c r="J78" s="69"/>
    </row>
    <row r="79" spans="1:10" ht="33" customHeight="1">
      <c r="A79" s="45"/>
      <c r="B79" s="64" t="s">
        <v>820</v>
      </c>
      <c r="C79" s="50"/>
      <c r="D79" s="42">
        <f t="shared" si="5"/>
        <v>4000</v>
      </c>
      <c r="E79" s="42"/>
      <c r="F79" s="42">
        <v>8000</v>
      </c>
      <c r="G79" s="42"/>
      <c r="H79" s="40">
        <f>'4.pielikums'!B291</f>
        <v>12000</v>
      </c>
      <c r="I79" s="69"/>
      <c r="J79" s="69"/>
    </row>
    <row r="80" spans="1:10" ht="59.45" customHeight="1">
      <c r="A80" s="51"/>
      <c r="B80" s="128" t="s">
        <v>254</v>
      </c>
      <c r="C80" s="49"/>
      <c r="D80" s="42">
        <f t="shared" si="5"/>
        <v>0</v>
      </c>
      <c r="E80" s="42"/>
      <c r="F80" s="42">
        <v>46467</v>
      </c>
      <c r="G80" s="42">
        <v>140952</v>
      </c>
      <c r="H80" s="40">
        <f>'4.pielikums'!B74</f>
        <v>187419</v>
      </c>
      <c r="I80" s="69"/>
      <c r="J80" s="69"/>
    </row>
    <row r="81" spans="1:10" ht="15" customHeight="1">
      <c r="A81" s="2" t="s">
        <v>282</v>
      </c>
      <c r="B81" s="91" t="s">
        <v>283</v>
      </c>
      <c r="C81" s="54">
        <f t="shared" si="6" ref="C81:H81">=SUM(C82:C103)</f>
        <v>28093</v>
      </c>
      <c r="D81" s="54">
        <f t="shared" si="6"/>
        <v>24041</v>
      </c>
      <c r="E81" s="54">
        <f t="shared" si="6"/>
        <v>140128</v>
      </c>
      <c r="F81" s="54">
        <f t="shared" si="6"/>
        <v>0</v>
      </c>
      <c r="G81" s="54">
        <f t="shared" si="6"/>
        <v>0</v>
      </c>
      <c r="H81" s="40">
        <f t="shared" si="6"/>
        <v>192262</v>
      </c>
      <c r="I81" s="69"/>
      <c r="J81" s="69"/>
    </row>
    <row r="82" spans="1:10" ht="30" customHeight="1">
      <c r="A82" s="45"/>
      <c r="B82" s="64" t="s">
        <v>79</v>
      </c>
      <c r="C82" s="50">
        <v>28093</v>
      </c>
      <c r="D82" s="42">
        <f>H82-E82-G82-F82-C82</f>
        <v>0</v>
      </c>
      <c r="E82" s="42">
        <v>38000</v>
      </c>
      <c r="F82" s="42"/>
      <c r="G82" s="42"/>
      <c r="H82" s="40">
        <f>'4.pielikums'!B75</f>
        <v>66093</v>
      </c>
      <c r="I82" s="69"/>
      <c r="J82" s="69"/>
    </row>
    <row r="83" spans="1:10" ht="30" customHeight="1">
      <c r="A83" s="45"/>
      <c r="B83" s="129" t="s">
        <v>335</v>
      </c>
      <c r="C83" s="50"/>
      <c r="D83" s="42">
        <f>H83-E83-G83-F83-C83</f>
        <v>0</v>
      </c>
      <c r="E83" s="109">
        <v>7712</v>
      </c>
      <c r="F83" s="42"/>
      <c r="G83" s="42"/>
      <c r="H83" s="40">
        <f>'4.pielikums'!B76</f>
        <v>7712</v>
      </c>
      <c r="I83" s="69"/>
      <c r="J83" s="69"/>
    </row>
    <row r="84" spans="1:10" s="66" customFormat="1" ht="30" customHeight="1">
      <c r="A84" s="74"/>
      <c r="B84" s="129" t="s">
        <v>727</v>
      </c>
      <c r="C84" s="49"/>
      <c r="D84" s="41">
        <f t="shared" si="5"/>
        <v>0</v>
      </c>
      <c r="E84" s="109">
        <v>2845</v>
      </c>
      <c r="F84" s="41"/>
      <c r="G84" s="41"/>
      <c r="H84" s="155">
        <f>'4.pielikums'!B77</f>
        <v>2845</v>
      </c>
      <c r="I84" s="69"/>
      <c r="J84" s="69"/>
    </row>
    <row r="85" spans="1:10" ht="30" customHeight="1">
      <c r="A85" s="45"/>
      <c r="B85" s="127" t="s">
        <v>256</v>
      </c>
      <c r="C85" s="50"/>
      <c r="D85" s="42">
        <f t="shared" si="5"/>
        <v>0</v>
      </c>
      <c r="E85" s="109">
        <v>4230</v>
      </c>
      <c r="F85" s="42"/>
      <c r="G85" s="42"/>
      <c r="H85" s="40">
        <f>'4.pielikums'!B78</f>
        <v>4230</v>
      </c>
      <c r="I85" s="69"/>
      <c r="J85" s="69"/>
    </row>
    <row r="86" spans="1:10" s="66" customFormat="1" ht="30" customHeight="1">
      <c r="A86" s="74"/>
      <c r="B86" s="129" t="s">
        <v>728</v>
      </c>
      <c r="C86" s="49"/>
      <c r="D86" s="41">
        <f t="shared" si="5"/>
        <v>687</v>
      </c>
      <c r="E86" s="118">
        <v>3572</v>
      </c>
      <c r="F86" s="41"/>
      <c r="G86" s="41"/>
      <c r="H86" s="155">
        <f>'4.pielikums'!B79</f>
        <v>4259</v>
      </c>
      <c r="I86" s="69"/>
      <c r="J86" s="69"/>
    </row>
    <row r="87" spans="1:10" ht="30" customHeight="1">
      <c r="A87" s="45"/>
      <c r="B87" s="127" t="s">
        <v>248</v>
      </c>
      <c r="C87" s="50"/>
      <c r="D87" s="42">
        <f t="shared" si="5"/>
        <v>950</v>
      </c>
      <c r="E87" s="109">
        <v>2718</v>
      </c>
      <c r="F87" s="42"/>
      <c r="G87" s="42"/>
      <c r="H87" s="40">
        <f>'4.pielikums'!B80</f>
        <v>3668</v>
      </c>
      <c r="I87" s="69"/>
      <c r="J87" s="69"/>
    </row>
    <row r="88" spans="1:10" ht="30" customHeight="1">
      <c r="A88" s="45"/>
      <c r="B88" s="127" t="s">
        <v>251</v>
      </c>
      <c r="C88" s="50"/>
      <c r="D88" s="42">
        <f t="shared" si="5"/>
        <v>0</v>
      </c>
      <c r="E88" s="109">
        <v>6752</v>
      </c>
      <c r="F88" s="42"/>
      <c r="G88" s="42"/>
      <c r="H88" s="40">
        <f>'4.pielikums'!B81</f>
        <v>6752</v>
      </c>
      <c r="I88" s="69"/>
      <c r="J88" s="69"/>
    </row>
    <row r="89" spans="1:10" ht="30" customHeight="1">
      <c r="A89" s="45"/>
      <c r="B89" s="127" t="s">
        <v>145</v>
      </c>
      <c r="C89" s="50"/>
      <c r="D89" s="42">
        <f t="shared" si="5"/>
        <v>0</v>
      </c>
      <c r="E89" s="109">
        <v>4700</v>
      </c>
      <c r="F89" s="42"/>
      <c r="G89" s="42"/>
      <c r="H89" s="40">
        <f>'4.pielikums'!B82</f>
        <v>4700</v>
      </c>
      <c r="I89" s="69"/>
      <c r="J89" s="69"/>
    </row>
    <row r="90" spans="1:10" ht="30" customHeight="1">
      <c r="A90" s="45"/>
      <c r="B90" s="63" t="s">
        <v>336</v>
      </c>
      <c r="C90" s="50"/>
      <c r="D90" s="42">
        <f>H90-E90-G90-F90-C90</f>
        <v>0</v>
      </c>
      <c r="E90" s="109">
        <v>8550</v>
      </c>
      <c r="F90" s="42"/>
      <c r="G90" s="42"/>
      <c r="H90" s="40">
        <f>'4.pielikums'!B83</f>
        <v>8550</v>
      </c>
      <c r="I90" s="69"/>
      <c r="J90" s="69"/>
    </row>
    <row r="91" spans="1:10" s="66" customFormat="1" ht="30" customHeight="1">
      <c r="A91" s="74"/>
      <c r="B91" s="63" t="s">
        <v>729</v>
      </c>
      <c r="C91" s="49"/>
      <c r="D91" s="41">
        <f t="shared" si="5"/>
        <v>1732</v>
      </c>
      <c r="E91" s="118">
        <v>1270</v>
      </c>
      <c r="F91" s="41"/>
      <c r="G91" s="41"/>
      <c r="H91" s="155">
        <f>'4.pielikums'!B84</f>
        <v>3002</v>
      </c>
      <c r="I91" s="69"/>
      <c r="J91" s="69"/>
    </row>
    <row r="92" spans="1:10" ht="30" customHeight="1">
      <c r="A92" s="45"/>
      <c r="B92" s="127" t="s">
        <v>142</v>
      </c>
      <c r="C92" s="50"/>
      <c r="D92" s="42">
        <f t="shared" si="5"/>
        <v>3306</v>
      </c>
      <c r="E92" s="118">
        <v>6780</v>
      </c>
      <c r="F92" s="42"/>
      <c r="G92" s="42"/>
      <c r="H92" s="40">
        <f>'4.pielikums'!B85</f>
        <v>10086</v>
      </c>
      <c r="I92" s="69"/>
      <c r="J92" s="69"/>
    </row>
    <row r="93" spans="1:10" ht="30" customHeight="1">
      <c r="A93" s="45"/>
      <c r="B93" s="127" t="s">
        <v>144</v>
      </c>
      <c r="C93" s="50"/>
      <c r="D93" s="42">
        <f t="shared" si="5"/>
        <v>0</v>
      </c>
      <c r="E93" s="109">
        <v>1010</v>
      </c>
      <c r="F93" s="42"/>
      <c r="G93" s="42"/>
      <c r="H93" s="40">
        <f>'4.pielikums'!B86</f>
        <v>1010</v>
      </c>
      <c r="I93" s="69"/>
      <c r="J93" s="69"/>
    </row>
    <row r="94" spans="1:10" ht="30" customHeight="1">
      <c r="A94" s="45"/>
      <c r="B94" s="63" t="s">
        <v>334</v>
      </c>
      <c r="C94" s="49"/>
      <c r="D94" s="42">
        <f t="shared" si="5"/>
        <v>2437</v>
      </c>
      <c r="E94" s="109">
        <v>6273</v>
      </c>
      <c r="F94" s="42"/>
      <c r="G94" s="42"/>
      <c r="H94" s="40">
        <f>'4.pielikums'!B87</f>
        <v>8710</v>
      </c>
      <c r="I94" s="69"/>
      <c r="J94" s="69"/>
    </row>
    <row r="95" spans="1:10" ht="30" customHeight="1">
      <c r="A95" s="45"/>
      <c r="B95" s="127" t="s">
        <v>258</v>
      </c>
      <c r="C95" s="50"/>
      <c r="D95" s="42">
        <f t="shared" si="5"/>
        <v>6370</v>
      </c>
      <c r="E95" s="109">
        <v>4286</v>
      </c>
      <c r="F95" s="42"/>
      <c r="G95" s="42"/>
      <c r="H95" s="40">
        <f>'4.pielikums'!B88</f>
        <v>10656</v>
      </c>
      <c r="I95" s="69"/>
      <c r="J95" s="69"/>
    </row>
    <row r="96" spans="1:10" ht="30" customHeight="1">
      <c r="A96" s="45"/>
      <c r="B96" s="127" t="s">
        <v>143</v>
      </c>
      <c r="C96" s="50"/>
      <c r="D96" s="42">
        <f t="shared" si="5"/>
        <v>0</v>
      </c>
      <c r="E96" s="109">
        <v>720</v>
      </c>
      <c r="F96" s="42"/>
      <c r="G96" s="42"/>
      <c r="H96" s="40">
        <f>'4.pielikums'!B89</f>
        <v>720</v>
      </c>
      <c r="I96" s="69"/>
      <c r="J96" s="69"/>
    </row>
    <row r="97" spans="1:10" ht="30" customHeight="1">
      <c r="A97" s="45"/>
      <c r="B97" s="127" t="s">
        <v>146</v>
      </c>
      <c r="C97" s="50"/>
      <c r="D97" s="42">
        <f t="shared" si="5"/>
        <v>1508</v>
      </c>
      <c r="E97" s="109">
        <v>2000</v>
      </c>
      <c r="F97" s="42"/>
      <c r="G97" s="42"/>
      <c r="H97" s="40">
        <f>'4.pielikums'!B90</f>
        <v>3508</v>
      </c>
      <c r="I97" s="69"/>
      <c r="J97" s="69"/>
    </row>
    <row r="98" spans="1:10" ht="30" customHeight="1">
      <c r="A98" s="45"/>
      <c r="B98" s="127" t="s">
        <v>217</v>
      </c>
      <c r="C98" s="50"/>
      <c r="D98" s="42">
        <f t="shared" si="5"/>
        <v>719</v>
      </c>
      <c r="E98" s="109">
        <f>17550</f>
        <v>17550</v>
      </c>
      <c r="F98" s="42"/>
      <c r="G98" s="42"/>
      <c r="H98" s="40">
        <f>'4.pielikums'!B91</f>
        <v>18269</v>
      </c>
      <c r="I98" s="69"/>
      <c r="J98" s="69"/>
    </row>
    <row r="99" spans="1:10" s="66" customFormat="1" ht="30" customHeight="1">
      <c r="A99" s="74"/>
      <c r="B99" s="127" t="s">
        <v>730</v>
      </c>
      <c r="C99" s="49"/>
      <c r="D99" s="41">
        <f t="shared" si="5"/>
        <v>0</v>
      </c>
      <c r="E99" s="118">
        <v>6665</v>
      </c>
      <c r="F99" s="41"/>
      <c r="G99" s="41"/>
      <c r="H99" s="155">
        <f>'4.pielikums'!B92</f>
        <v>6665</v>
      </c>
      <c r="I99" s="69"/>
      <c r="J99" s="69"/>
    </row>
    <row r="100" spans="1:10" ht="30" customHeight="1">
      <c r="A100" s="45"/>
      <c r="B100" s="127" t="s">
        <v>147</v>
      </c>
      <c r="C100" s="50"/>
      <c r="D100" s="42">
        <f t="shared" si="5"/>
        <v>376</v>
      </c>
      <c r="E100" s="109">
        <v>7985</v>
      </c>
      <c r="F100" s="42"/>
      <c r="G100" s="42"/>
      <c r="H100" s="40">
        <f>'4.pielikums'!B93</f>
        <v>8361</v>
      </c>
      <c r="I100" s="69"/>
      <c r="J100" s="69"/>
    </row>
    <row r="101" spans="1:10" ht="30" customHeight="1">
      <c r="A101" s="45"/>
      <c r="B101" s="127" t="s">
        <v>141</v>
      </c>
      <c r="C101" s="50"/>
      <c r="D101" s="42">
        <f t="shared" si="5"/>
        <v>0</v>
      </c>
      <c r="E101" s="109">
        <f>3510</f>
        <v>3510</v>
      </c>
      <c r="F101" s="42"/>
      <c r="G101" s="42"/>
      <c r="H101" s="40">
        <f>'4.pielikums'!B94</f>
        <v>3510</v>
      </c>
      <c r="I101" s="69"/>
      <c r="J101" s="69"/>
    </row>
    <row r="102" spans="1:10" ht="51.6" customHeight="1">
      <c r="A102" s="45"/>
      <c r="B102" s="127" t="s">
        <v>748</v>
      </c>
      <c r="C102" s="50"/>
      <c r="D102" s="42">
        <f t="shared" si="5"/>
        <v>5956</v>
      </c>
      <c r="E102" s="109"/>
      <c r="F102" s="42"/>
      <c r="G102" s="42"/>
      <c r="H102" s="40">
        <f>'4.pielikums'!B289</f>
        <v>5956</v>
      </c>
      <c r="I102" s="69"/>
      <c r="J102" s="69"/>
    </row>
    <row r="103" spans="1:10" ht="51.6" customHeight="1">
      <c r="A103" s="45"/>
      <c r="B103" s="127" t="s">
        <v>754</v>
      </c>
      <c r="C103" s="50"/>
      <c r="D103" s="42">
        <f t="shared" si="5"/>
        <v>0</v>
      </c>
      <c r="E103" s="42">
        <v>3000</v>
      </c>
      <c r="F103" s="42"/>
      <c r="G103" s="42"/>
      <c r="H103" s="40">
        <f>'4.pielikums'!B286</f>
        <v>3000</v>
      </c>
      <c r="I103" s="69"/>
      <c r="J103" s="69"/>
    </row>
    <row r="104" spans="1:10" ht="30" customHeight="1">
      <c r="A104" s="58" t="s">
        <v>284</v>
      </c>
      <c r="B104" s="91" t="s">
        <v>285</v>
      </c>
      <c r="C104" s="54">
        <f t="shared" si="7" ref="C104:H104">=C105+C107</f>
        <v>115000</v>
      </c>
      <c r="D104" s="54">
        <f t="shared" si="7"/>
        <v>2459811</v>
      </c>
      <c r="E104" s="54">
        <f t="shared" si="7"/>
        <v>2156226</v>
      </c>
      <c r="F104" s="54">
        <f t="shared" si="7"/>
        <v>2000</v>
      </c>
      <c r="G104" s="54">
        <f t="shared" si="7"/>
        <v>380947</v>
      </c>
      <c r="H104" s="40">
        <f t="shared" si="7"/>
        <v>5113984</v>
      </c>
      <c r="I104" s="69"/>
      <c r="J104" s="69"/>
    </row>
    <row r="105" spans="1:10" ht="15" customHeight="1">
      <c r="A105" s="56"/>
      <c r="B105" s="85" t="s">
        <v>286</v>
      </c>
      <c r="C105" s="54">
        <f t="shared" si="8" ref="C105:H105">=SUM(C106:C106)</f>
        <v>0</v>
      </c>
      <c r="D105" s="54">
        <f t="shared" si="8"/>
        <v>119842</v>
      </c>
      <c r="E105" s="54">
        <f t="shared" si="8"/>
        <v>0</v>
      </c>
      <c r="F105" s="54">
        <f t="shared" si="8"/>
        <v>0</v>
      </c>
      <c r="G105" s="54">
        <f t="shared" si="8"/>
        <v>0</v>
      </c>
      <c r="H105" s="40">
        <f t="shared" si="8"/>
        <v>119842</v>
      </c>
      <c r="I105" s="69"/>
      <c r="J105" s="69"/>
    </row>
    <row r="106" spans="1:10" ht="15" customHeight="1">
      <c r="A106" s="2"/>
      <c r="B106" s="88" t="s">
        <v>19</v>
      </c>
      <c r="C106" s="55"/>
      <c r="D106" s="42">
        <f t="shared" si="9" ref="D106:D175">=H106-E106-G106-F106-C106</f>
        <v>119842</v>
      </c>
      <c r="E106" s="42"/>
      <c r="F106" s="42"/>
      <c r="G106" s="42"/>
      <c r="H106" s="40">
        <f>'4.pielikums'!B95</f>
        <v>119842</v>
      </c>
      <c r="I106" s="69"/>
      <c r="J106" s="69"/>
    </row>
    <row r="107" spans="1:10" ht="47.25">
      <c r="A107" s="45"/>
      <c r="B107" s="91" t="s">
        <v>287</v>
      </c>
      <c r="C107" s="54">
        <f>SUM(C108:C172)</f>
        <v>115000</v>
      </c>
      <c r="D107" s="54">
        <f t="shared" si="10" ref="D107:G107">=SUM(D108:D172)</f>
        <v>2339969</v>
      </c>
      <c r="E107" s="54">
        <f t="shared" si="10"/>
        <v>2156226</v>
      </c>
      <c r="F107" s="54">
        <f t="shared" si="10"/>
        <v>2000</v>
      </c>
      <c r="G107" s="54">
        <f t="shared" si="10"/>
        <v>380947</v>
      </c>
      <c r="H107" s="40">
        <f>SUM(H108:H172)</f>
        <v>4994142</v>
      </c>
      <c r="I107" s="69"/>
      <c r="J107" s="69"/>
    </row>
    <row r="108" spans="1:10" s="66" customFormat="1" ht="15" customHeight="1">
      <c r="A108" s="77"/>
      <c r="B108" s="64" t="s">
        <v>190</v>
      </c>
      <c r="C108" s="49"/>
      <c r="D108" s="41">
        <f t="shared" si="9"/>
        <v>74682</v>
      </c>
      <c r="E108" s="41">
        <v>21000</v>
      </c>
      <c r="F108" s="41"/>
      <c r="G108" s="41"/>
      <c r="H108" s="155">
        <f>'4.pielikums'!B96</f>
        <v>95682</v>
      </c>
      <c r="I108" s="69"/>
      <c r="J108" s="69"/>
    </row>
    <row r="109" spans="1:10" s="66" customFormat="1" ht="15" customHeight="1">
      <c r="A109" s="77"/>
      <c r="B109" s="64" t="s">
        <v>194</v>
      </c>
      <c r="C109" s="49"/>
      <c r="D109" s="41">
        <f>H109-E109-G109-F109-C109</f>
        <v>58549</v>
      </c>
      <c r="E109" s="41"/>
      <c r="F109" s="41"/>
      <c r="G109" s="41"/>
      <c r="H109" s="155">
        <f>'4.pielikums'!B97</f>
        <v>58549</v>
      </c>
      <c r="I109" s="69"/>
      <c r="J109" s="69"/>
    </row>
    <row r="110" spans="1:10" s="66" customFormat="1" ht="17.25" customHeight="1">
      <c r="A110" s="77"/>
      <c r="B110" s="64" t="s">
        <v>753</v>
      </c>
      <c r="C110" s="49"/>
      <c r="D110" s="41">
        <f>H110-E110-G110-F110-C110</f>
        <v>367431</v>
      </c>
      <c r="E110" s="41"/>
      <c r="F110" s="41"/>
      <c r="G110" s="41"/>
      <c r="H110" s="155">
        <f>'4.pielikums'!B120</f>
        <v>367431</v>
      </c>
      <c r="I110" s="69"/>
      <c r="J110" s="69"/>
    </row>
    <row r="111" spans="1:10" ht="15" customHeight="1">
      <c r="A111" s="45"/>
      <c r="B111" s="112" t="s">
        <v>289</v>
      </c>
      <c r="C111" s="55">
        <v>115000</v>
      </c>
      <c r="D111" s="42">
        <f t="shared" si="9"/>
        <v>0</v>
      </c>
      <c r="E111" s="42">
        <f>231618+282536+217219+908592+9380</f>
        <v>1649345</v>
      </c>
      <c r="F111" s="42"/>
      <c r="G111" s="42"/>
      <c r="H111" s="40">
        <f>'4.pielikums'!B114</f>
        <v>1764345</v>
      </c>
      <c r="I111" s="69"/>
      <c r="J111" s="69"/>
    </row>
    <row r="112" spans="1:10" ht="21.75" customHeight="1">
      <c r="A112" s="51"/>
      <c r="B112" s="111" t="s">
        <v>20</v>
      </c>
      <c r="C112" s="50"/>
      <c r="D112" s="42">
        <f>H112-E112-G112-F112-C112</f>
        <v>29040</v>
      </c>
      <c r="E112" s="109">
        <v>510</v>
      </c>
      <c r="F112" s="42"/>
      <c r="G112" s="42"/>
      <c r="H112" s="40">
        <f>'4.pielikums'!B98</f>
        <v>29550</v>
      </c>
      <c r="I112" s="69"/>
      <c r="J112" s="69"/>
    </row>
    <row r="113" spans="1:10" ht="30" customHeight="1">
      <c r="A113" s="45"/>
      <c r="B113" s="111" t="s">
        <v>288</v>
      </c>
      <c r="C113" s="50"/>
      <c r="D113" s="42">
        <f t="shared" si="9"/>
        <v>73044</v>
      </c>
      <c r="E113" s="109">
        <f>2280</f>
        <v>2280</v>
      </c>
      <c r="F113" s="42"/>
      <c r="G113" s="42"/>
      <c r="H113" s="40">
        <f>'4.pielikums'!B99</f>
        <v>75324</v>
      </c>
      <c r="I113" s="69"/>
      <c r="J113" s="69"/>
    </row>
    <row r="114" spans="1:10" ht="28.15" customHeight="1">
      <c r="A114" s="45"/>
      <c r="B114" s="111" t="s">
        <v>21</v>
      </c>
      <c r="C114" s="50"/>
      <c r="D114" s="42">
        <f>H114-E114-G114-F114-C114</f>
        <v>29545</v>
      </c>
      <c r="E114" s="118">
        <v>170</v>
      </c>
      <c r="F114" s="42"/>
      <c r="G114" s="42"/>
      <c r="H114" s="40">
        <f>'4.pielikums'!B100</f>
        <v>29715</v>
      </c>
      <c r="I114" s="69"/>
      <c r="J114" s="69"/>
    </row>
    <row r="115" spans="1:10" ht="30" customHeight="1">
      <c r="A115" s="45"/>
      <c r="B115" s="111" t="s">
        <v>22</v>
      </c>
      <c r="C115" s="50"/>
      <c r="D115" s="42">
        <f t="shared" si="9"/>
        <v>60017</v>
      </c>
      <c r="E115" s="109">
        <v>1838</v>
      </c>
      <c r="F115" s="42"/>
      <c r="G115" s="42"/>
      <c r="H115" s="40">
        <f>'4.pielikums'!B101</f>
        <v>61855</v>
      </c>
      <c r="I115" s="69"/>
      <c r="J115" s="69"/>
    </row>
    <row r="116" spans="1:10" ht="32.45" customHeight="1">
      <c r="A116" s="45"/>
      <c r="B116" s="111" t="s">
        <v>23</v>
      </c>
      <c r="C116" s="50"/>
      <c r="D116" s="42">
        <f t="shared" si="9"/>
        <v>25350</v>
      </c>
      <c r="E116" s="109">
        <f>2491+2191</f>
        <v>4682</v>
      </c>
      <c r="F116" s="42"/>
      <c r="G116" s="42"/>
      <c r="H116" s="40">
        <f>'4.pielikums'!B102</f>
        <v>30032</v>
      </c>
      <c r="I116" s="69"/>
      <c r="J116" s="69"/>
    </row>
    <row r="117" spans="1:10" ht="29.45" customHeight="1">
      <c r="A117" s="45"/>
      <c r="B117" s="111" t="s">
        <v>24</v>
      </c>
      <c r="C117" s="50"/>
      <c r="D117" s="42">
        <f t="shared" si="9"/>
        <v>74171</v>
      </c>
      <c r="E117" s="109">
        <v>225</v>
      </c>
      <c r="F117" s="42"/>
      <c r="G117" s="42"/>
      <c r="H117" s="40">
        <f>'4.pielikums'!B103</f>
        <v>74396</v>
      </c>
      <c r="I117" s="69"/>
      <c r="J117" s="69"/>
    </row>
    <row r="118" spans="1:10" ht="30" customHeight="1">
      <c r="A118" s="45"/>
      <c r="B118" s="130" t="s">
        <v>337</v>
      </c>
      <c r="C118" s="50"/>
      <c r="D118" s="42">
        <f t="shared" si="9"/>
        <v>34907</v>
      </c>
      <c r="E118" s="109">
        <v>59525</v>
      </c>
      <c r="F118" s="42"/>
      <c r="G118" s="42"/>
      <c r="H118" s="40">
        <f>'4.pielikums'!B104</f>
        <v>94432</v>
      </c>
      <c r="I118" s="69"/>
      <c r="J118" s="69"/>
    </row>
    <row r="119" spans="1:10" ht="30" customHeight="1">
      <c r="A119" s="45"/>
      <c r="B119" s="131" t="s">
        <v>149</v>
      </c>
      <c r="C119" s="50"/>
      <c r="D119" s="42">
        <f t="shared" si="9"/>
        <v>84669</v>
      </c>
      <c r="E119" s="109">
        <v>3590</v>
      </c>
      <c r="F119" s="42"/>
      <c r="G119" s="42"/>
      <c r="H119" s="40">
        <f>'4.pielikums'!B105</f>
        <v>88259</v>
      </c>
      <c r="I119" s="69"/>
      <c r="J119" s="69"/>
    </row>
    <row r="120" spans="1:10" ht="30" customHeight="1">
      <c r="A120" s="45"/>
      <c r="B120" s="111" t="s">
        <v>25</v>
      </c>
      <c r="C120" s="50"/>
      <c r="D120" s="42">
        <f t="shared" si="9"/>
        <v>54015</v>
      </c>
      <c r="E120" s="109">
        <v>3145</v>
      </c>
      <c r="F120" s="42"/>
      <c r="G120" s="42"/>
      <c r="H120" s="40">
        <f>'4.pielikums'!B106</f>
        <v>57160</v>
      </c>
      <c r="I120" s="69"/>
      <c r="J120" s="69"/>
    </row>
    <row r="121" spans="1:10" ht="30" customHeight="1">
      <c r="A121" s="45"/>
      <c r="B121" s="130" t="s">
        <v>338</v>
      </c>
      <c r="C121" s="50"/>
      <c r="D121" s="42">
        <f t="shared" si="9"/>
        <v>10119</v>
      </c>
      <c r="E121" s="109"/>
      <c r="F121" s="42"/>
      <c r="G121" s="42"/>
      <c r="H121" s="40">
        <f>'4.pielikums'!B107</f>
        <v>10119</v>
      </c>
      <c r="I121" s="69"/>
      <c r="J121" s="69"/>
    </row>
    <row r="122" spans="1:10" ht="15" customHeight="1">
      <c r="A122" s="45"/>
      <c r="B122" s="131" t="s">
        <v>150</v>
      </c>
      <c r="C122" s="50"/>
      <c r="D122" s="42">
        <f t="shared" si="9"/>
        <v>155416</v>
      </c>
      <c r="E122" s="109">
        <v>3341</v>
      </c>
      <c r="F122" s="42"/>
      <c r="G122" s="42"/>
      <c r="H122" s="40">
        <f>'4.pielikums'!B108</f>
        <v>158757</v>
      </c>
      <c r="I122" s="69"/>
      <c r="J122" s="69"/>
    </row>
    <row r="123" spans="1:10" ht="34.15" customHeight="1">
      <c r="A123" s="45"/>
      <c r="B123" s="130" t="s">
        <v>339</v>
      </c>
      <c r="C123" s="50"/>
      <c r="D123" s="42">
        <f t="shared" si="9"/>
        <v>3815</v>
      </c>
      <c r="E123" s="109">
        <v>3530</v>
      </c>
      <c r="F123" s="42"/>
      <c r="G123" s="42"/>
      <c r="H123" s="40">
        <f>'4.pielikums'!B109</f>
        <v>7345</v>
      </c>
      <c r="I123" s="69"/>
      <c r="J123" s="69"/>
    </row>
    <row r="124" spans="1:10" ht="29.45" customHeight="1">
      <c r="A124" s="45"/>
      <c r="B124" s="111" t="s">
        <v>26</v>
      </c>
      <c r="C124" s="50"/>
      <c r="D124" s="42">
        <f t="shared" si="9"/>
        <v>103536</v>
      </c>
      <c r="E124" s="109">
        <v>14016</v>
      </c>
      <c r="F124" s="42"/>
      <c r="G124" s="42"/>
      <c r="H124" s="40">
        <f>'4.pielikums'!B110</f>
        <v>117552</v>
      </c>
      <c r="I124" s="69"/>
      <c r="J124" s="69"/>
    </row>
    <row r="125" spans="1:10" s="66" customFormat="1" ht="30" customHeight="1">
      <c r="A125" s="74"/>
      <c r="B125" s="111" t="s">
        <v>27</v>
      </c>
      <c r="C125" s="49"/>
      <c r="D125" s="41">
        <f t="shared" si="9"/>
        <v>45339</v>
      </c>
      <c r="E125" s="118"/>
      <c r="F125" s="41"/>
      <c r="G125" s="41"/>
      <c r="H125" s="155">
        <f>'4.pielikums'!B111</f>
        <v>45339</v>
      </c>
      <c r="I125" s="69"/>
      <c r="J125" s="69"/>
    </row>
    <row r="126" spans="1:10" ht="33.6" customHeight="1">
      <c r="A126" s="45"/>
      <c r="B126" s="130" t="s">
        <v>199</v>
      </c>
      <c r="C126" s="50"/>
      <c r="D126" s="42">
        <f t="shared" si="9"/>
        <v>41260</v>
      </c>
      <c r="E126" s="109">
        <v>1400</v>
      </c>
      <c r="F126" s="42"/>
      <c r="G126" s="42"/>
      <c r="H126" s="40">
        <f>'4.pielikums'!B112</f>
        <v>42660</v>
      </c>
      <c r="I126" s="69"/>
      <c r="J126" s="69"/>
    </row>
    <row r="127" spans="1:10" ht="31.9" customHeight="1">
      <c r="A127" s="45"/>
      <c r="B127" s="111" t="s">
        <v>28</v>
      </c>
      <c r="C127" s="50"/>
      <c r="D127" s="42">
        <f t="shared" si="9"/>
        <v>102295</v>
      </c>
      <c r="E127" s="109">
        <v>586</v>
      </c>
      <c r="F127" s="42"/>
      <c r="G127" s="42"/>
      <c r="H127" s="40">
        <f>'4.pielikums'!B113</f>
        <v>102881</v>
      </c>
      <c r="I127" s="69"/>
      <c r="J127" s="69"/>
    </row>
    <row r="128" spans="1:10" ht="30" customHeight="1">
      <c r="A128" s="45"/>
      <c r="B128" s="130" t="s">
        <v>183</v>
      </c>
      <c r="C128" s="50"/>
      <c r="D128" s="42">
        <f t="shared" si="9"/>
        <v>16120</v>
      </c>
      <c r="E128" s="109">
        <v>17000</v>
      </c>
      <c r="F128" s="42"/>
      <c r="G128" s="42"/>
      <c r="H128" s="40">
        <f>'4.pielikums'!B115</f>
        <v>33120</v>
      </c>
      <c r="I128" s="69"/>
      <c r="J128" s="69"/>
    </row>
    <row r="129" spans="1:10" ht="30" customHeight="1">
      <c r="A129" s="45"/>
      <c r="B129" s="130" t="s">
        <v>121</v>
      </c>
      <c r="C129" s="50"/>
      <c r="D129" s="42">
        <f t="shared" si="9"/>
        <v>0</v>
      </c>
      <c r="E129" s="109">
        <v>7500</v>
      </c>
      <c r="F129" s="42"/>
      <c r="G129" s="42"/>
      <c r="H129" s="40">
        <f>'4.pielikums'!B116</f>
        <v>7500</v>
      </c>
      <c r="I129" s="69"/>
      <c r="J129" s="69"/>
    </row>
    <row r="130" spans="1:10" ht="30" customHeight="1">
      <c r="A130" s="45"/>
      <c r="B130" s="130" t="s">
        <v>127</v>
      </c>
      <c r="C130" s="50"/>
      <c r="D130" s="42">
        <f t="shared" si="9"/>
        <v>0</v>
      </c>
      <c r="E130" s="109">
        <v>1000</v>
      </c>
      <c r="F130" s="42"/>
      <c r="G130" s="42"/>
      <c r="H130" s="40">
        <f>'4.pielikums'!B117</f>
        <v>1000</v>
      </c>
      <c r="I130" s="69"/>
      <c r="J130" s="69"/>
    </row>
    <row r="131" spans="1:10" ht="30" customHeight="1">
      <c r="A131" s="45"/>
      <c r="B131" s="130" t="s">
        <v>122</v>
      </c>
      <c r="C131" s="50"/>
      <c r="D131" s="42">
        <f t="shared" si="9"/>
        <v>0</v>
      </c>
      <c r="E131" s="109">
        <f>2100+7727</f>
        <v>9827</v>
      </c>
      <c r="F131" s="42"/>
      <c r="G131" s="42"/>
      <c r="H131" s="40">
        <f>'4.pielikums'!B118</f>
        <v>9827</v>
      </c>
      <c r="I131" s="69"/>
      <c r="J131" s="69"/>
    </row>
    <row r="132" spans="1:10" ht="30" customHeight="1">
      <c r="A132" s="45"/>
      <c r="B132" s="127" t="s">
        <v>124</v>
      </c>
      <c r="C132" s="50"/>
      <c r="D132" s="42">
        <f t="shared" si="9"/>
        <v>0</v>
      </c>
      <c r="E132" s="109">
        <v>3200</v>
      </c>
      <c r="F132" s="42"/>
      <c r="G132" s="42"/>
      <c r="H132" s="40">
        <f>'4.pielikums'!B119</f>
        <v>3200</v>
      </c>
      <c r="I132" s="69"/>
      <c r="J132" s="69"/>
    </row>
    <row r="133" spans="1:10" ht="30" customHeight="1">
      <c r="A133" s="45"/>
      <c r="B133" s="64" t="s">
        <v>739</v>
      </c>
      <c r="C133" s="50"/>
      <c r="D133" s="42">
        <f t="shared" si="9"/>
        <v>118153</v>
      </c>
      <c r="E133" s="109"/>
      <c r="F133" s="42"/>
      <c r="G133" s="42"/>
      <c r="H133" s="40">
        <f>'4.pielikums'!B121</f>
        <v>118153</v>
      </c>
      <c r="I133" s="69"/>
      <c r="J133" s="69"/>
    </row>
    <row r="134" spans="1:10" ht="30" customHeight="1">
      <c r="A134" s="45"/>
      <c r="B134" s="127" t="s">
        <v>107</v>
      </c>
      <c r="C134" s="50"/>
      <c r="D134" s="42">
        <f t="shared" si="9"/>
        <v>16115</v>
      </c>
      <c r="E134" s="109"/>
      <c r="F134" s="42"/>
      <c r="G134" s="42"/>
      <c r="H134" s="40">
        <f>'4.pielikums'!B122</f>
        <v>16115</v>
      </c>
      <c r="I134" s="69"/>
      <c r="J134" s="69"/>
    </row>
    <row r="135" spans="1:10" ht="30" customHeight="1">
      <c r="A135" s="45"/>
      <c r="B135" s="127" t="s">
        <v>102</v>
      </c>
      <c r="C135" s="50"/>
      <c r="D135" s="42">
        <f t="shared" si="9"/>
        <v>16093</v>
      </c>
      <c r="E135" s="109"/>
      <c r="F135" s="42"/>
      <c r="G135" s="42"/>
      <c r="H135" s="40">
        <f>'4.pielikums'!B123</f>
        <v>16093</v>
      </c>
      <c r="I135" s="69"/>
      <c r="J135" s="69"/>
    </row>
    <row r="136" spans="1:10" ht="30" customHeight="1">
      <c r="A136" s="45"/>
      <c r="B136" s="127" t="s">
        <v>109</v>
      </c>
      <c r="C136" s="50"/>
      <c r="D136" s="42">
        <f t="shared" si="9"/>
        <v>17528</v>
      </c>
      <c r="E136" s="109">
        <v>255</v>
      </c>
      <c r="F136" s="42"/>
      <c r="G136" s="42"/>
      <c r="H136" s="40">
        <f>'4.pielikums'!B124</f>
        <v>17783</v>
      </c>
      <c r="I136" s="69"/>
      <c r="J136" s="69"/>
    </row>
    <row r="137" spans="1:10" ht="30" customHeight="1">
      <c r="A137" s="45"/>
      <c r="B137" s="127" t="s">
        <v>340</v>
      </c>
      <c r="C137" s="50"/>
      <c r="D137" s="42">
        <f t="shared" si="9"/>
        <v>19011</v>
      </c>
      <c r="E137" s="42"/>
      <c r="F137" s="42"/>
      <c r="G137" s="42"/>
      <c r="H137" s="40">
        <f>'4.pielikums'!B125</f>
        <v>19011</v>
      </c>
      <c r="I137" s="69"/>
      <c r="J137" s="69"/>
    </row>
    <row r="138" spans="1:10" ht="30" customHeight="1">
      <c r="A138" s="45"/>
      <c r="B138" s="127" t="s">
        <v>119</v>
      </c>
      <c r="C138" s="50"/>
      <c r="D138" s="42">
        <f t="shared" si="11" ref="D138">=H138-E138-G138-F138-C138</f>
        <v>24027</v>
      </c>
      <c r="E138" s="42"/>
      <c r="F138" s="42"/>
      <c r="G138" s="42"/>
      <c r="H138" s="40">
        <f>'4.pielikums'!B126</f>
        <v>24027</v>
      </c>
      <c r="I138" s="69"/>
      <c r="J138" s="69"/>
    </row>
    <row r="139" spans="1:10" ht="15" customHeight="1">
      <c r="A139" s="45"/>
      <c r="B139" s="127" t="s">
        <v>125</v>
      </c>
      <c r="C139" s="50"/>
      <c r="D139" s="42">
        <f t="shared" si="9"/>
        <v>205018</v>
      </c>
      <c r="E139" s="109">
        <f>900+1400</f>
        <v>2300</v>
      </c>
      <c r="F139" s="42"/>
      <c r="G139" s="42"/>
      <c r="H139" s="40">
        <f>'4.pielikums'!B127</f>
        <v>207318</v>
      </c>
      <c r="I139" s="69"/>
      <c r="J139" s="69"/>
    </row>
    <row r="140" spans="1:10" ht="30" customHeight="1">
      <c r="A140" s="45"/>
      <c r="B140" s="127" t="s">
        <v>250</v>
      </c>
      <c r="C140" s="50"/>
      <c r="D140" s="42">
        <f t="shared" si="9"/>
        <v>45890</v>
      </c>
      <c r="E140" s="109">
        <v>21857</v>
      </c>
      <c r="F140" s="42"/>
      <c r="G140" s="42"/>
      <c r="H140" s="40">
        <f>'4.pielikums'!B128</f>
        <v>67747</v>
      </c>
      <c r="I140" s="69"/>
      <c r="J140" s="69"/>
    </row>
    <row r="141" spans="1:10" ht="30" customHeight="1">
      <c r="A141" s="45"/>
      <c r="B141" s="127" t="s">
        <v>114</v>
      </c>
      <c r="C141" s="50"/>
      <c r="D141" s="42">
        <f t="shared" si="9"/>
        <v>69425</v>
      </c>
      <c r="E141" s="109">
        <v>35161</v>
      </c>
      <c r="F141" s="42"/>
      <c r="G141" s="42"/>
      <c r="H141" s="40">
        <f>'4.pielikums'!B129</f>
        <v>104586</v>
      </c>
      <c r="I141" s="69"/>
      <c r="J141" s="69"/>
    </row>
    <row r="142" spans="1:10" ht="30" customHeight="1">
      <c r="A142" s="45"/>
      <c r="B142" s="127" t="s">
        <v>341</v>
      </c>
      <c r="C142" s="50"/>
      <c r="D142" s="42">
        <f t="shared" si="9"/>
        <v>32104</v>
      </c>
      <c r="E142" s="109">
        <v>13500</v>
      </c>
      <c r="F142" s="42"/>
      <c r="G142" s="42"/>
      <c r="H142" s="40">
        <f>'4.pielikums'!B130</f>
        <v>45604</v>
      </c>
      <c r="I142" s="69"/>
      <c r="J142" s="69"/>
    </row>
    <row r="143" spans="1:10" ht="15" customHeight="1">
      <c r="A143" s="45"/>
      <c r="B143" s="127" t="s">
        <v>259</v>
      </c>
      <c r="C143" s="50"/>
      <c r="D143" s="42">
        <f t="shared" si="9"/>
        <v>29697</v>
      </c>
      <c r="E143" s="109">
        <v>28967</v>
      </c>
      <c r="F143" s="42"/>
      <c r="G143" s="42"/>
      <c r="H143" s="40">
        <f>'4.pielikums'!B131</f>
        <v>58664</v>
      </c>
      <c r="I143" s="69"/>
      <c r="J143" s="69"/>
    </row>
    <row r="144" spans="1:10" ht="30" customHeight="1">
      <c r="A144" s="45"/>
      <c r="B144" s="127" t="s">
        <v>116</v>
      </c>
      <c r="C144" s="50"/>
      <c r="D144" s="42">
        <f t="shared" si="9"/>
        <v>22471</v>
      </c>
      <c r="E144" s="109">
        <v>9000</v>
      </c>
      <c r="F144" s="42"/>
      <c r="G144" s="42"/>
      <c r="H144" s="40">
        <f>'4.pielikums'!B132</f>
        <v>31471</v>
      </c>
      <c r="I144" s="69"/>
      <c r="J144" s="69"/>
    </row>
    <row r="145" spans="1:10" ht="30" customHeight="1">
      <c r="A145" s="45"/>
      <c r="B145" s="127" t="s">
        <v>104</v>
      </c>
      <c r="C145" s="50"/>
      <c r="D145" s="42">
        <f t="shared" si="9"/>
        <v>15365</v>
      </c>
      <c r="E145" s="109">
        <v>69000</v>
      </c>
      <c r="F145" s="42"/>
      <c r="G145" s="42"/>
      <c r="H145" s="40">
        <f>'4.pielikums'!B133</f>
        <v>84365</v>
      </c>
      <c r="I145" s="69"/>
      <c r="J145" s="69"/>
    </row>
    <row r="146" spans="1:10" ht="15" customHeight="1">
      <c r="A146" s="45"/>
      <c r="B146" s="127" t="s">
        <v>106</v>
      </c>
      <c r="C146" s="50"/>
      <c r="D146" s="42">
        <f t="shared" si="9"/>
        <v>44530</v>
      </c>
      <c r="E146" s="109">
        <f>59000</f>
        <v>59000</v>
      </c>
      <c r="F146" s="42"/>
      <c r="G146" s="42"/>
      <c r="H146" s="40">
        <f>'4.pielikums'!B134</f>
        <v>103530</v>
      </c>
      <c r="I146" s="69"/>
      <c r="J146" s="69"/>
    </row>
    <row r="147" spans="1:10" ht="15" customHeight="1">
      <c r="A147" s="45"/>
      <c r="B147" s="129" t="s">
        <v>205</v>
      </c>
      <c r="C147" s="50"/>
      <c r="D147" s="42">
        <f t="shared" si="9"/>
        <v>0</v>
      </c>
      <c r="E147" s="109">
        <v>2840</v>
      </c>
      <c r="F147" s="42"/>
      <c r="G147" s="42"/>
      <c r="H147" s="40">
        <f>'4.pielikums'!B135</f>
        <v>2840</v>
      </c>
      <c r="I147" s="69"/>
      <c r="J147" s="69"/>
    </row>
    <row r="148" spans="1:10" ht="15" customHeight="1">
      <c r="A148" s="45"/>
      <c r="B148" s="129" t="s">
        <v>204</v>
      </c>
      <c r="C148" s="50"/>
      <c r="D148" s="42">
        <f t="shared" si="9"/>
        <v>5778</v>
      </c>
      <c r="E148" s="109">
        <v>11605</v>
      </c>
      <c r="F148" s="42"/>
      <c r="G148" s="42"/>
      <c r="H148" s="40">
        <f>'4.pielikums'!B136</f>
        <v>17383</v>
      </c>
      <c r="I148" s="69"/>
      <c r="J148" s="69"/>
    </row>
    <row r="149" spans="1:10" s="66" customFormat="1" ht="30" customHeight="1">
      <c r="A149" s="74"/>
      <c r="B149" s="127" t="s">
        <v>724</v>
      </c>
      <c r="C149" s="49"/>
      <c r="D149" s="41">
        <f t="shared" si="9"/>
        <v>1794</v>
      </c>
      <c r="E149" s="118">
        <v>2500</v>
      </c>
      <c r="F149" s="41"/>
      <c r="G149" s="41"/>
      <c r="H149" s="155">
        <f>'4.pielikums'!B137</f>
        <v>4294</v>
      </c>
      <c r="I149" s="69"/>
      <c r="J149" s="69"/>
    </row>
    <row r="150" spans="1:10" ht="15" customHeight="1">
      <c r="A150" s="45"/>
      <c r="B150" s="127" t="s">
        <v>257</v>
      </c>
      <c r="C150" s="50"/>
      <c r="D150" s="42">
        <f>H150-E150-G150-F150-C150</f>
        <v>381</v>
      </c>
      <c r="E150" s="109">
        <v>4268</v>
      </c>
      <c r="F150" s="42"/>
      <c r="G150" s="42"/>
      <c r="H150" s="40">
        <f>'4.pielikums'!B138</f>
        <v>4649</v>
      </c>
      <c r="I150" s="69"/>
      <c r="J150" s="69"/>
    </row>
    <row r="151" spans="1:10" s="66" customFormat="1" ht="30" customHeight="1">
      <c r="A151" s="74"/>
      <c r="B151" s="127" t="s">
        <v>725</v>
      </c>
      <c r="C151" s="49"/>
      <c r="D151" s="41">
        <f>H151-E151-G151-F151-C151</f>
        <v>745</v>
      </c>
      <c r="E151" s="118">
        <v>2391</v>
      </c>
      <c r="F151" s="41"/>
      <c r="G151" s="41"/>
      <c r="H151" s="155">
        <f>'4.pielikums'!B139</f>
        <v>3136</v>
      </c>
      <c r="I151" s="69"/>
      <c r="J151" s="69"/>
    </row>
    <row r="152" spans="1:10" ht="15" customHeight="1">
      <c r="A152" s="45"/>
      <c r="B152" s="132" t="s">
        <v>249</v>
      </c>
      <c r="C152" s="50"/>
      <c r="D152" s="42">
        <f t="shared" si="9"/>
        <v>1585</v>
      </c>
      <c r="E152" s="109">
        <v>4516</v>
      </c>
      <c r="F152" s="42"/>
      <c r="G152" s="42"/>
      <c r="H152" s="40">
        <f>'4.pielikums'!B140</f>
        <v>6101</v>
      </c>
      <c r="I152" s="69"/>
      <c r="J152" s="69"/>
    </row>
    <row r="153" spans="1:10" ht="15" customHeight="1">
      <c r="A153" s="45"/>
      <c r="B153" s="127" t="s">
        <v>252</v>
      </c>
      <c r="C153" s="50"/>
      <c r="D153" s="42">
        <f t="shared" si="9"/>
        <v>0</v>
      </c>
      <c r="E153" s="109">
        <v>5348</v>
      </c>
      <c r="F153" s="42"/>
      <c r="G153" s="42"/>
      <c r="H153" s="40">
        <f>'4.pielikums'!B141</f>
        <v>5348</v>
      </c>
      <c r="I153" s="69"/>
      <c r="J153" s="69"/>
    </row>
    <row r="154" spans="1:10" ht="30" customHeight="1">
      <c r="A154" s="45"/>
      <c r="B154" s="127" t="s">
        <v>115</v>
      </c>
      <c r="C154" s="50"/>
      <c r="D154" s="42">
        <f t="shared" si="9"/>
        <v>0</v>
      </c>
      <c r="E154" s="109">
        <v>5000</v>
      </c>
      <c r="F154" s="42"/>
      <c r="G154" s="42"/>
      <c r="H154" s="40">
        <f>'4.pielikums'!B142</f>
        <v>5000</v>
      </c>
      <c r="I154" s="69"/>
      <c r="J154" s="69"/>
    </row>
    <row r="155" spans="1:10" ht="15" customHeight="1">
      <c r="A155" s="45"/>
      <c r="B155" s="128" t="s">
        <v>151</v>
      </c>
      <c r="C155" s="50"/>
      <c r="D155" s="42">
        <f t="shared" si="9"/>
        <v>0</v>
      </c>
      <c r="E155" s="109">
        <v>5600</v>
      </c>
      <c r="F155" s="42"/>
      <c r="G155" s="42"/>
      <c r="H155" s="40">
        <f>'4.pielikums'!B143</f>
        <v>5600</v>
      </c>
      <c r="I155" s="69"/>
      <c r="J155" s="69"/>
    </row>
    <row r="156" spans="1:10" s="66" customFormat="1" ht="30" customHeight="1">
      <c r="A156" s="74"/>
      <c r="B156" s="127" t="s">
        <v>726</v>
      </c>
      <c r="C156" s="49"/>
      <c r="D156" s="41">
        <f t="shared" si="9"/>
        <v>0</v>
      </c>
      <c r="E156" s="118">
        <v>3193</v>
      </c>
      <c r="F156" s="41"/>
      <c r="G156" s="41"/>
      <c r="H156" s="155">
        <f>'4.pielikums'!B144</f>
        <v>3193</v>
      </c>
      <c r="I156" s="69"/>
      <c r="J156" s="69"/>
    </row>
    <row r="157" spans="1:10" ht="30" customHeight="1">
      <c r="A157" s="45"/>
      <c r="B157" s="127" t="s">
        <v>108</v>
      </c>
      <c r="C157" s="50"/>
      <c r="D157" s="42">
        <f t="shared" si="9"/>
        <v>0</v>
      </c>
      <c r="E157" s="109">
        <v>7036</v>
      </c>
      <c r="F157" s="42"/>
      <c r="G157" s="42"/>
      <c r="H157" s="40">
        <f>'4.pielikums'!B145</f>
        <v>7036</v>
      </c>
      <c r="I157" s="69"/>
      <c r="J157" s="69"/>
    </row>
    <row r="158" spans="1:10" ht="15" customHeight="1">
      <c r="A158" s="45"/>
      <c r="B158" s="127" t="s">
        <v>112</v>
      </c>
      <c r="C158" s="50"/>
      <c r="D158" s="42">
        <f t="shared" si="9"/>
        <v>0</v>
      </c>
      <c r="E158" s="109">
        <v>2977</v>
      </c>
      <c r="F158" s="42"/>
      <c r="G158" s="42"/>
      <c r="H158" s="40">
        <f>'4.pielikums'!B146</f>
        <v>2977</v>
      </c>
      <c r="I158" s="69"/>
      <c r="J158" s="69"/>
    </row>
    <row r="159" spans="1:10" ht="15" customHeight="1">
      <c r="A159" s="45"/>
      <c r="B159" s="128" t="s">
        <v>152</v>
      </c>
      <c r="C159" s="50"/>
      <c r="D159" s="42">
        <f t="shared" si="9"/>
        <v>0</v>
      </c>
      <c r="E159" s="109">
        <v>6650</v>
      </c>
      <c r="F159" s="42"/>
      <c r="G159" s="42"/>
      <c r="H159" s="40">
        <f>'4.pielikums'!B147</f>
        <v>6650</v>
      </c>
      <c r="I159" s="69"/>
      <c r="J159" s="69"/>
    </row>
    <row r="160" spans="1:10" ht="15" customHeight="1">
      <c r="A160" s="45"/>
      <c r="B160" s="127" t="s">
        <v>113</v>
      </c>
      <c r="C160" s="50"/>
      <c r="D160" s="42">
        <f t="shared" si="9"/>
        <v>0</v>
      </c>
      <c r="E160" s="109">
        <v>2127</v>
      </c>
      <c r="F160" s="42"/>
      <c r="G160" s="42"/>
      <c r="H160" s="40">
        <f>'4.pielikums'!B148</f>
        <v>2127</v>
      </c>
      <c r="I160" s="69"/>
      <c r="J160" s="69"/>
    </row>
    <row r="161" spans="1:10" ht="15" customHeight="1">
      <c r="A161" s="45"/>
      <c r="B161" s="127" t="s">
        <v>260</v>
      </c>
      <c r="C161" s="50"/>
      <c r="D161" s="42">
        <f t="shared" si="9"/>
        <v>2942</v>
      </c>
      <c r="E161" s="109">
        <v>6463</v>
      </c>
      <c r="F161" s="42"/>
      <c r="G161" s="42"/>
      <c r="H161" s="40">
        <f>'4.pielikums'!B149</f>
        <v>9405</v>
      </c>
      <c r="I161" s="69"/>
      <c r="J161" s="69"/>
    </row>
    <row r="162" spans="1:10" s="66" customFormat="1" ht="15" customHeight="1">
      <c r="A162" s="74"/>
      <c r="B162" s="127" t="s">
        <v>717</v>
      </c>
      <c r="C162" s="49"/>
      <c r="D162" s="41">
        <f t="shared" si="9"/>
        <v>1470</v>
      </c>
      <c r="E162" s="118">
        <v>4189</v>
      </c>
      <c r="F162" s="41"/>
      <c r="G162" s="41"/>
      <c r="H162" s="155">
        <f>'4.pielikums'!B151</f>
        <v>5659</v>
      </c>
      <c r="I162" s="69"/>
      <c r="J162" s="69"/>
    </row>
    <row r="163" spans="1:10" ht="15" customHeight="1">
      <c r="A163" s="45"/>
      <c r="B163" s="127" t="s">
        <v>110</v>
      </c>
      <c r="C163" s="50"/>
      <c r="D163" s="42">
        <f t="shared" si="9"/>
        <v>0</v>
      </c>
      <c r="E163" s="118">
        <v>3605</v>
      </c>
      <c r="F163" s="42"/>
      <c r="G163" s="42"/>
      <c r="H163" s="40">
        <f>'4.pielikums'!B150</f>
        <v>3605</v>
      </c>
      <c r="I163" s="69"/>
      <c r="J163" s="69"/>
    </row>
    <row r="164" spans="1:10" ht="15" customHeight="1">
      <c r="A164" s="45"/>
      <c r="B164" s="127" t="s">
        <v>118</v>
      </c>
      <c r="C164" s="50"/>
      <c r="D164" s="42">
        <f t="shared" si="9"/>
        <v>1574</v>
      </c>
      <c r="E164" s="109">
        <v>2400</v>
      </c>
      <c r="F164" s="42"/>
      <c r="G164" s="42"/>
      <c r="H164" s="40">
        <f>'4.pielikums'!B152</f>
        <v>3974</v>
      </c>
      <c r="I164" s="69"/>
      <c r="J164" s="69"/>
    </row>
    <row r="165" spans="1:10" ht="30" customHeight="1">
      <c r="A165" s="45"/>
      <c r="B165" s="127" t="s">
        <v>105</v>
      </c>
      <c r="C165" s="50"/>
      <c r="D165" s="42">
        <f t="shared" si="9"/>
        <v>14895</v>
      </c>
      <c r="E165" s="109">
        <f>15900</f>
        <v>15900</v>
      </c>
      <c r="F165" s="42"/>
      <c r="G165" s="42"/>
      <c r="H165" s="40">
        <f>'4.pielikums'!B153</f>
        <v>30795</v>
      </c>
      <c r="I165" s="69"/>
      <c r="J165" s="69"/>
    </row>
    <row r="166" spans="1:10" ht="30" customHeight="1">
      <c r="A166" s="45"/>
      <c r="B166" s="127" t="s">
        <v>718</v>
      </c>
      <c r="C166" s="50"/>
      <c r="D166" s="42">
        <f t="shared" si="9"/>
        <v>0</v>
      </c>
      <c r="E166" s="109">
        <v>2560</v>
      </c>
      <c r="F166" s="42"/>
      <c r="G166" s="42"/>
      <c r="H166" s="40">
        <f>'4.pielikums'!B154</f>
        <v>2560</v>
      </c>
      <c r="I166" s="69"/>
      <c r="J166" s="69"/>
    </row>
    <row r="167" spans="1:10" ht="15" customHeight="1">
      <c r="A167" s="45"/>
      <c r="B167" s="127" t="s">
        <v>342</v>
      </c>
      <c r="C167" s="50"/>
      <c r="D167" s="42">
        <f t="shared" si="9"/>
        <v>4058</v>
      </c>
      <c r="E167" s="109">
        <f>8308</f>
        <v>8308</v>
      </c>
      <c r="F167" s="42"/>
      <c r="G167" s="42"/>
      <c r="H167" s="40">
        <f>'4.pielikums'!B155</f>
        <v>12366</v>
      </c>
      <c r="I167" s="69"/>
      <c r="J167" s="69"/>
    </row>
    <row r="168" spans="1:10" ht="30" customHeight="1">
      <c r="A168" s="45"/>
      <c r="B168" s="127" t="s">
        <v>242</v>
      </c>
      <c r="C168" s="50"/>
      <c r="D168" s="42">
        <f>H168-E168-G168-F168-C168</f>
        <v>0</v>
      </c>
      <c r="E168" s="109"/>
      <c r="F168" s="42"/>
      <c r="G168" s="42">
        <f>252621+128326</f>
        <v>380947</v>
      </c>
      <c r="H168" s="40">
        <f>'4.pielikums'!B284</f>
        <v>380947</v>
      </c>
      <c r="I168" s="69"/>
      <c r="J168" s="69"/>
    </row>
    <row r="169" spans="1:10" ht="30" customHeight="1">
      <c r="A169" s="45"/>
      <c r="B169" s="65" t="s">
        <v>148</v>
      </c>
      <c r="C169" s="50"/>
      <c r="D169" s="42">
        <f t="shared" si="9"/>
        <v>26000</v>
      </c>
      <c r="E169" s="109"/>
      <c r="F169" s="42"/>
      <c r="G169" s="42"/>
      <c r="H169" s="40">
        <f>'4.pielikums'!B156</f>
        <v>26000</v>
      </c>
      <c r="I169" s="69"/>
      <c r="J169" s="69"/>
    </row>
    <row r="170" spans="1:10" ht="30" customHeight="1">
      <c r="A170" s="45"/>
      <c r="B170" s="65" t="s">
        <v>693</v>
      </c>
      <c r="C170" s="50"/>
      <c r="D170" s="42">
        <f t="shared" si="9"/>
        <v>0</v>
      </c>
      <c r="E170" s="109"/>
      <c r="F170" s="42">
        <v>2000</v>
      </c>
      <c r="G170" s="42"/>
      <c r="H170" s="40">
        <f>'4.pielikums'!B281</f>
        <v>2000</v>
      </c>
      <c r="I170" s="69"/>
      <c r="J170" s="69"/>
    </row>
    <row r="171" spans="1:10" ht="30" customHeight="1">
      <c r="A171" s="45"/>
      <c r="B171" s="65" t="s">
        <v>752</v>
      </c>
      <c r="C171" s="50"/>
      <c r="D171" s="42">
        <f t="shared" si="9"/>
        <v>60000</v>
      </c>
      <c r="E171" s="109"/>
      <c r="F171" s="42"/>
      <c r="G171" s="42"/>
      <c r="H171" s="40">
        <f>'4.pielikums'!B285</f>
        <v>60000</v>
      </c>
      <c r="I171" s="69"/>
      <c r="J171" s="69"/>
    </row>
    <row r="172" spans="1:10" s="66" customFormat="1" ht="15" customHeight="1">
      <c r="A172" s="74"/>
      <c r="B172" s="65" t="s">
        <v>185</v>
      </c>
      <c r="C172" s="49"/>
      <c r="D172" s="41">
        <f t="shared" si="9"/>
        <v>100000</v>
      </c>
      <c r="E172" s="118"/>
      <c r="F172" s="41"/>
      <c r="G172" s="41"/>
      <c r="H172" s="155">
        <f>'4.pielikums'!B282</f>
        <v>100000</v>
      </c>
      <c r="I172" s="69"/>
      <c r="J172" s="69"/>
    </row>
    <row r="173" spans="1:10" ht="15" customHeight="1">
      <c r="A173" s="2" t="s">
        <v>290</v>
      </c>
      <c r="B173" s="85" t="s">
        <v>291</v>
      </c>
      <c r="C173" s="54">
        <f>SUM(C174:C183)</f>
        <v>0</v>
      </c>
      <c r="D173" s="54">
        <f t="shared" si="12" ref="D173:G173">=SUM(D174:D183)</f>
        <v>14303</v>
      </c>
      <c r="E173" s="54">
        <f t="shared" si="12"/>
        <v>510</v>
      </c>
      <c r="F173" s="54">
        <f t="shared" si="12"/>
        <v>135263</v>
      </c>
      <c r="G173" s="54">
        <f t="shared" si="12"/>
        <v>0</v>
      </c>
      <c r="H173" s="40">
        <f>SUM(H174:H183)</f>
        <v>150076</v>
      </c>
      <c r="I173" s="69"/>
      <c r="J173" s="69"/>
    </row>
    <row r="174" spans="1:10" ht="15" customHeight="1">
      <c r="A174" s="45"/>
      <c r="B174" s="64" t="s">
        <v>292</v>
      </c>
      <c r="C174" s="50"/>
      <c r="D174" s="42">
        <f>H174-E174-G174-F174-C174</f>
        <v>897</v>
      </c>
      <c r="E174" s="109">
        <v>150</v>
      </c>
      <c r="F174" s="109">
        <v>12896</v>
      </c>
      <c r="G174" s="42"/>
      <c r="H174" s="40">
        <f>'4.pielikums'!B157</f>
        <v>13943</v>
      </c>
      <c r="I174" s="69"/>
      <c r="J174" s="69"/>
    </row>
    <row r="175" spans="1:10" ht="15" customHeight="1">
      <c r="A175" s="45"/>
      <c r="B175" s="64" t="s">
        <v>293</v>
      </c>
      <c r="C175" s="50"/>
      <c r="D175" s="42">
        <f t="shared" si="9"/>
        <v>2773</v>
      </c>
      <c r="E175" s="109">
        <v>50</v>
      </c>
      <c r="F175" s="109">
        <v>12266</v>
      </c>
      <c r="G175" s="42"/>
      <c r="H175" s="40">
        <f>'4.pielikums'!B158</f>
        <v>15089</v>
      </c>
      <c r="I175" s="69"/>
      <c r="J175" s="69"/>
    </row>
    <row r="176" spans="1:10" ht="15" customHeight="1">
      <c r="A176" s="45"/>
      <c r="B176" s="64" t="s">
        <v>294</v>
      </c>
      <c r="C176" s="50"/>
      <c r="D176" s="42">
        <f t="shared" si="13" ref="D176:D183">=H176-E176-G176-F176-C176</f>
        <v>965</v>
      </c>
      <c r="E176" s="109">
        <v>50</v>
      </c>
      <c r="F176" s="109">
        <v>12896</v>
      </c>
      <c r="G176" s="42"/>
      <c r="H176" s="40">
        <f>'4.pielikums'!B159</f>
        <v>13911</v>
      </c>
      <c r="I176" s="69"/>
      <c r="J176" s="69"/>
    </row>
    <row r="177" spans="1:10" ht="15" customHeight="1">
      <c r="A177" s="45"/>
      <c r="B177" s="64" t="s">
        <v>153</v>
      </c>
      <c r="C177" s="50"/>
      <c r="D177" s="42">
        <f t="shared" si="13"/>
        <v>-10</v>
      </c>
      <c r="E177" s="109">
        <v>10</v>
      </c>
      <c r="F177" s="109">
        <v>12896</v>
      </c>
      <c r="G177" s="42"/>
      <c r="H177" s="40">
        <f>'4.pielikums'!B160</f>
        <v>12896</v>
      </c>
      <c r="I177" s="69"/>
      <c r="J177" s="69"/>
    </row>
    <row r="178" spans="1:10" ht="15" customHeight="1">
      <c r="A178" s="45"/>
      <c r="B178" s="64" t="s">
        <v>295</v>
      </c>
      <c r="C178" s="50"/>
      <c r="D178" s="42">
        <f t="shared" si="13"/>
        <v>78</v>
      </c>
      <c r="E178" s="109">
        <v>50</v>
      </c>
      <c r="F178" s="109">
        <v>12896</v>
      </c>
      <c r="G178" s="42"/>
      <c r="H178" s="40">
        <f>'4.pielikums'!B161</f>
        <v>13024</v>
      </c>
      <c r="I178" s="69"/>
      <c r="J178" s="69"/>
    </row>
    <row r="179" spans="1:10" ht="15" customHeight="1">
      <c r="A179" s="45"/>
      <c r="B179" s="64" t="s">
        <v>296</v>
      </c>
      <c r="C179" s="50"/>
      <c r="D179" s="42">
        <f t="shared" si="13"/>
        <v>2968</v>
      </c>
      <c r="E179" s="109">
        <v>50</v>
      </c>
      <c r="F179" s="109">
        <v>12896</v>
      </c>
      <c r="G179" s="42"/>
      <c r="H179" s="40">
        <f>'4.pielikums'!B162</f>
        <v>15914</v>
      </c>
      <c r="I179" s="69"/>
      <c r="J179" s="69"/>
    </row>
    <row r="180" spans="1:10" ht="15" customHeight="1">
      <c r="A180" s="45"/>
      <c r="B180" s="127" t="s">
        <v>297</v>
      </c>
      <c r="C180" s="50"/>
      <c r="D180" s="42">
        <f t="shared" si="13"/>
        <v>2674</v>
      </c>
      <c r="E180" s="109">
        <v>50</v>
      </c>
      <c r="F180" s="109">
        <v>12896</v>
      </c>
      <c r="G180" s="42"/>
      <c r="H180" s="40">
        <f>'4.pielikums'!B163</f>
        <v>15620</v>
      </c>
      <c r="I180" s="69"/>
      <c r="J180" s="69"/>
    </row>
    <row r="181" spans="1:10" ht="15" customHeight="1">
      <c r="A181" s="45"/>
      <c r="B181" s="64" t="s">
        <v>298</v>
      </c>
      <c r="C181" s="50"/>
      <c r="D181" s="42">
        <f t="shared" si="13"/>
        <v>3880</v>
      </c>
      <c r="E181" s="109">
        <v>50</v>
      </c>
      <c r="F181" s="109">
        <v>12896</v>
      </c>
      <c r="G181" s="42"/>
      <c r="H181" s="40">
        <f>'4.pielikums'!B164</f>
        <v>16826</v>
      </c>
      <c r="I181" s="69"/>
      <c r="J181" s="69"/>
    </row>
    <row r="182" spans="1:10" ht="15" customHeight="1">
      <c r="A182" s="45"/>
      <c r="B182" s="64" t="s">
        <v>299</v>
      </c>
      <c r="C182" s="50"/>
      <c r="D182" s="42">
        <f t="shared" si="13"/>
        <v>78</v>
      </c>
      <c r="E182" s="109">
        <v>50</v>
      </c>
      <c r="F182" s="109">
        <v>12896</v>
      </c>
      <c r="G182" s="42"/>
      <c r="H182" s="40">
        <f>'4.pielikums'!B165</f>
        <v>13024</v>
      </c>
      <c r="I182" s="69"/>
      <c r="J182" s="69"/>
    </row>
    <row r="183" spans="1:10" ht="15" customHeight="1">
      <c r="A183" s="45"/>
      <c r="B183" s="63" t="s">
        <v>300</v>
      </c>
      <c r="C183" s="50"/>
      <c r="D183" s="42">
        <f t="shared" si="13"/>
        <v>0</v>
      </c>
      <c r="E183" s="109"/>
      <c r="F183" s="109">
        <v>19829</v>
      </c>
      <c r="G183" s="42"/>
      <c r="H183" s="40">
        <f>'4.pielikums'!B166</f>
        <v>19829</v>
      </c>
      <c r="I183" s="69"/>
      <c r="J183" s="69"/>
    </row>
    <row r="184" spans="1:10" ht="15" customHeight="1">
      <c r="A184" s="2" t="s">
        <v>301</v>
      </c>
      <c r="B184" s="85" t="s">
        <v>659</v>
      </c>
      <c r="C184" s="54">
        <f t="shared" si="14" ref="C184:H184">=C185+C192+C194+C200+C221</f>
        <v>112700</v>
      </c>
      <c r="D184" s="54">
        <f t="shared" si="14"/>
        <v>2146623</v>
      </c>
      <c r="E184" s="156">
        <f t="shared" si="14"/>
        <v>111991</v>
      </c>
      <c r="F184" s="156">
        <f t="shared" si="14"/>
        <v>45935</v>
      </c>
      <c r="G184" s="54">
        <f t="shared" si="14"/>
        <v>283341</v>
      </c>
      <c r="H184" s="40">
        <f t="shared" si="14"/>
        <v>2700590</v>
      </c>
      <c r="I184" s="69"/>
      <c r="J184" s="69"/>
    </row>
    <row r="185" spans="1:10" ht="15" customHeight="1">
      <c r="A185" s="2"/>
      <c r="B185" s="85" t="s">
        <v>302</v>
      </c>
      <c r="C185" s="54">
        <f>SUM(C186:C190)</f>
        <v>0</v>
      </c>
      <c r="D185" s="54">
        <f>SUM(D186:D190)</f>
        <v>180881</v>
      </c>
      <c r="E185" s="54">
        <f t="shared" si="15" ref="E185:G185">=SUM(E186:E190)</f>
        <v>3120</v>
      </c>
      <c r="F185" s="54">
        <f t="shared" si="15"/>
        <v>0</v>
      </c>
      <c r="G185" s="54">
        <f t="shared" si="15"/>
        <v>0</v>
      </c>
      <c r="H185" s="40">
        <f>SUM(H186:H190)</f>
        <v>184001</v>
      </c>
      <c r="I185" s="69"/>
      <c r="J185" s="69"/>
    </row>
    <row r="186" spans="1:10" ht="15" customHeight="1">
      <c r="A186" s="45"/>
      <c r="B186" s="88" t="s">
        <v>177</v>
      </c>
      <c r="C186" s="55"/>
      <c r="D186" s="42">
        <f t="shared" si="16" ref="D186:D225">=H186-E186-G186-F186-C186</f>
        <v>76922</v>
      </c>
      <c r="E186" s="109"/>
      <c r="F186" s="109"/>
      <c r="G186" s="42"/>
      <c r="H186" s="40">
        <f>'4.pielikums'!B167</f>
        <v>76922</v>
      </c>
      <c r="I186" s="69"/>
      <c r="J186" s="69"/>
    </row>
    <row r="187" spans="1:10" ht="15" customHeight="1">
      <c r="A187" s="45"/>
      <c r="B187" s="64" t="s">
        <v>208</v>
      </c>
      <c r="C187" s="50"/>
      <c r="D187" s="42">
        <f t="shared" si="16"/>
        <v>30774</v>
      </c>
      <c r="E187" s="109">
        <v>2120</v>
      </c>
      <c r="F187" s="109"/>
      <c r="G187" s="42"/>
      <c r="H187" s="40">
        <f>'4.pielikums'!B168</f>
        <v>32894</v>
      </c>
      <c r="I187" s="69"/>
      <c r="J187" s="69"/>
    </row>
    <row r="188" spans="1:10" ht="15" customHeight="1">
      <c r="A188" s="45"/>
      <c r="B188" s="64" t="s">
        <v>230</v>
      </c>
      <c r="C188" s="50"/>
      <c r="D188" s="42">
        <f t="shared" si="16"/>
        <v>24492</v>
      </c>
      <c r="E188" s="109">
        <f>1000</f>
        <v>1000</v>
      </c>
      <c r="F188" s="109"/>
      <c r="G188" s="42"/>
      <c r="H188" s="40">
        <f>'4.pielikums'!B170</f>
        <v>25492</v>
      </c>
      <c r="I188" s="69"/>
      <c r="J188" s="69"/>
    </row>
    <row r="189" spans="1:10" ht="15" customHeight="1">
      <c r="A189" s="45"/>
      <c r="B189" s="64" t="s">
        <v>738</v>
      </c>
      <c r="C189" s="50"/>
      <c r="D189" s="42">
        <f t="shared" si="16"/>
        <v>29524</v>
      </c>
      <c r="E189" s="109"/>
      <c r="F189" s="109"/>
      <c r="G189" s="42"/>
      <c r="H189" s="40">
        <f>'4.pielikums'!B280</f>
        <v>29524</v>
      </c>
      <c r="I189" s="69"/>
      <c r="J189" s="69"/>
    </row>
    <row r="190" spans="1:10" ht="15" customHeight="1">
      <c r="A190" s="45"/>
      <c r="B190" s="64" t="s">
        <v>783</v>
      </c>
      <c r="C190" s="50"/>
      <c r="D190" s="42">
        <f t="shared" si="16"/>
        <v>19169</v>
      </c>
      <c r="E190" s="109"/>
      <c r="F190" s="109"/>
      <c r="G190" s="42"/>
      <c r="H190" s="40">
        <f>'4.pielikums'!B169</f>
        <v>19169</v>
      </c>
      <c r="I190" s="69"/>
      <c r="J190" s="69"/>
    </row>
    <row r="191" spans="1:10" ht="15" customHeight="1">
      <c r="A191" s="2"/>
      <c r="B191" s="85" t="s">
        <v>303</v>
      </c>
      <c r="C191" s="59"/>
      <c r="D191" s="42"/>
      <c r="E191" s="156"/>
      <c r="F191" s="156"/>
      <c r="G191" s="54"/>
      <c r="H191" s="40"/>
      <c r="I191" s="69"/>
      <c r="J191" s="69"/>
    </row>
    <row r="192" spans="1:10" ht="15" customHeight="1">
      <c r="A192" s="2"/>
      <c r="B192" s="85" t="s">
        <v>304</v>
      </c>
      <c r="C192" s="54">
        <f t="shared" si="17" ref="C192:H192">=SUM(C193:C193)</f>
        <v>0</v>
      </c>
      <c r="D192" s="54">
        <f t="shared" si="17"/>
        <v>452864</v>
      </c>
      <c r="E192" s="156">
        <f t="shared" si="17"/>
        <v>1800</v>
      </c>
      <c r="F192" s="156">
        <f t="shared" si="17"/>
        <v>18531</v>
      </c>
      <c r="G192" s="54">
        <f t="shared" si="17"/>
        <v>0</v>
      </c>
      <c r="H192" s="40">
        <f t="shared" si="17"/>
        <v>473195</v>
      </c>
      <c r="I192" s="69"/>
      <c r="J192" s="69"/>
    </row>
    <row r="193" spans="1:10" ht="15" customHeight="1">
      <c r="A193" s="45"/>
      <c r="B193" s="88" t="s">
        <v>36</v>
      </c>
      <c r="C193" s="55"/>
      <c r="D193" s="42">
        <f t="shared" si="16"/>
        <v>452864</v>
      </c>
      <c r="E193" s="109">
        <v>1800</v>
      </c>
      <c r="F193" s="118">
        <v>18531</v>
      </c>
      <c r="G193" s="42"/>
      <c r="H193" s="40">
        <f>'4.pielikums'!B171</f>
        <v>473195</v>
      </c>
      <c r="I193" s="69"/>
      <c r="J193" s="69"/>
    </row>
    <row r="194" spans="1:10" ht="15" customHeight="1">
      <c r="A194" s="2"/>
      <c r="B194" s="85" t="s">
        <v>305</v>
      </c>
      <c r="C194" s="54">
        <f>SUM(C195:C199)</f>
        <v>0</v>
      </c>
      <c r="D194" s="54">
        <f t="shared" si="18" ref="D194:G194">=SUM(D195:D199)</f>
        <v>228117</v>
      </c>
      <c r="E194" s="54">
        <f t="shared" si="18"/>
        <v>13760</v>
      </c>
      <c r="F194" s="54">
        <f t="shared" si="18"/>
        <v>0</v>
      </c>
      <c r="G194" s="54">
        <f t="shared" si="18"/>
        <v>0</v>
      </c>
      <c r="H194" s="40">
        <f>SUM(H195:H199)</f>
        <v>241877</v>
      </c>
      <c r="I194" s="69"/>
      <c r="J194" s="69"/>
    </row>
    <row r="195" spans="1:10" ht="15" customHeight="1">
      <c r="A195" s="45"/>
      <c r="B195" s="88" t="s">
        <v>306</v>
      </c>
      <c r="C195" s="55"/>
      <c r="D195" s="42">
        <f t="shared" si="16"/>
        <v>117136</v>
      </c>
      <c r="E195" s="109">
        <v>10740</v>
      </c>
      <c r="F195" s="109"/>
      <c r="G195" s="42"/>
      <c r="H195" s="40">
        <f>'4.pielikums'!B172</f>
        <v>127876</v>
      </c>
      <c r="I195" s="69"/>
      <c r="J195" s="69"/>
    </row>
    <row r="196" spans="1:10" ht="15" customHeight="1">
      <c r="A196" s="45"/>
      <c r="B196" s="88" t="s">
        <v>154</v>
      </c>
      <c r="C196" s="55"/>
      <c r="D196" s="42">
        <f t="shared" si="16"/>
        <v>48951</v>
      </c>
      <c r="E196" s="109">
        <v>350</v>
      </c>
      <c r="F196" s="109"/>
      <c r="G196" s="42"/>
      <c r="H196" s="40">
        <f>'4.pielikums'!B173</f>
        <v>49301</v>
      </c>
      <c r="I196" s="69"/>
      <c r="J196" s="69"/>
    </row>
    <row r="197" spans="1:10" ht="15" customHeight="1">
      <c r="A197" s="45"/>
      <c r="B197" s="65" t="s">
        <v>136</v>
      </c>
      <c r="C197" s="50"/>
      <c r="D197" s="42">
        <f t="shared" si="16"/>
        <v>10051</v>
      </c>
      <c r="E197" s="109"/>
      <c r="F197" s="109"/>
      <c r="G197" s="42"/>
      <c r="H197" s="40">
        <f>'4.pielikums'!B174</f>
        <v>10051</v>
      </c>
      <c r="I197" s="69"/>
      <c r="J197" s="69"/>
    </row>
    <row r="198" spans="1:10" ht="15" customHeight="1">
      <c r="A198" s="45"/>
      <c r="B198" s="127" t="s">
        <v>135</v>
      </c>
      <c r="C198" s="50"/>
      <c r="D198" s="42">
        <f t="shared" si="16"/>
        <v>39374</v>
      </c>
      <c r="E198" s="109">
        <v>1370</v>
      </c>
      <c r="F198" s="109"/>
      <c r="G198" s="42"/>
      <c r="H198" s="40">
        <f>'4.pielikums'!B175</f>
        <v>40744</v>
      </c>
      <c r="I198" s="69"/>
      <c r="J198" s="69"/>
    </row>
    <row r="199" spans="1:10" ht="30" customHeight="1">
      <c r="A199" s="45"/>
      <c r="B199" s="127" t="s">
        <v>134</v>
      </c>
      <c r="C199" s="50"/>
      <c r="D199" s="42">
        <f t="shared" si="16"/>
        <v>12605</v>
      </c>
      <c r="E199" s="109">
        <v>1300</v>
      </c>
      <c r="F199" s="109"/>
      <c r="G199" s="42"/>
      <c r="H199" s="40">
        <f>'4.pielikums'!B176</f>
        <v>13905</v>
      </c>
      <c r="I199" s="69"/>
      <c r="J199" s="69"/>
    </row>
    <row r="200" spans="1:10" ht="15" customHeight="1">
      <c r="A200" s="2"/>
      <c r="B200" s="85" t="s">
        <v>307</v>
      </c>
      <c r="C200" s="54">
        <f>SUM(C201:C220)</f>
        <v>0</v>
      </c>
      <c r="D200" s="54">
        <f t="shared" si="19" ref="D200:G200">=SUM(D201:D220)</f>
        <v>984768</v>
      </c>
      <c r="E200" s="54">
        <f t="shared" si="19"/>
        <v>93311</v>
      </c>
      <c r="F200" s="54">
        <f t="shared" si="19"/>
        <v>27404</v>
      </c>
      <c r="G200" s="54">
        <f t="shared" si="19"/>
        <v>0</v>
      </c>
      <c r="H200" s="40">
        <f>SUM(H201:H220)</f>
        <v>1105483</v>
      </c>
      <c r="I200" s="69"/>
      <c r="J200" s="69"/>
    </row>
    <row r="201" spans="1:10" ht="15" customHeight="1">
      <c r="A201" s="45"/>
      <c r="B201" s="88" t="s">
        <v>80</v>
      </c>
      <c r="C201" s="55"/>
      <c r="D201" s="42">
        <f t="shared" si="16"/>
        <v>220903</v>
      </c>
      <c r="E201" s="109">
        <v>8194</v>
      </c>
      <c r="F201" s="109">
        <v>6851</v>
      </c>
      <c r="G201" s="42"/>
      <c r="H201" s="40">
        <f>'4.pielikums'!B177</f>
        <v>235948</v>
      </c>
      <c r="I201" s="69"/>
      <c r="J201" s="69"/>
    </row>
    <row r="202" spans="1:10" ht="30" customHeight="1">
      <c r="A202" s="45"/>
      <c r="B202" s="64" t="s">
        <v>311</v>
      </c>
      <c r="C202" s="50"/>
      <c r="D202" s="42">
        <f t="shared" si="16"/>
        <v>23920</v>
      </c>
      <c r="E202" s="109">
        <v>38136</v>
      </c>
      <c r="F202" s="109"/>
      <c r="G202" s="42"/>
      <c r="H202" s="40">
        <f>'4.pielikums'!B178</f>
        <v>62056</v>
      </c>
      <c r="I202" s="69"/>
      <c r="J202" s="69"/>
    </row>
    <row r="203" spans="1:10" ht="15" customHeight="1">
      <c r="A203" s="45"/>
      <c r="B203" s="64" t="s">
        <v>155</v>
      </c>
      <c r="C203" s="50"/>
      <c r="D203" s="42">
        <f t="shared" si="16"/>
        <v>41869</v>
      </c>
      <c r="E203" s="109">
        <f>130+1800</f>
        <v>1930</v>
      </c>
      <c r="F203" s="109">
        <v>2015</v>
      </c>
      <c r="G203" s="42"/>
      <c r="H203" s="40">
        <f>'4.pielikums'!B179</f>
        <v>45814</v>
      </c>
      <c r="I203" s="69"/>
      <c r="J203" s="69"/>
    </row>
    <row r="204" spans="1:10" ht="15" customHeight="1">
      <c r="A204" s="45"/>
      <c r="B204" s="88" t="s">
        <v>201</v>
      </c>
      <c r="C204" s="55"/>
      <c r="D204" s="42">
        <f>H204-E204-G204-F204-C204</f>
        <v>43091</v>
      </c>
      <c r="E204" s="109">
        <v>2850</v>
      </c>
      <c r="F204" s="109">
        <v>403</v>
      </c>
      <c r="G204" s="42"/>
      <c r="H204" s="40">
        <f>'4.pielikums'!B180</f>
        <v>46344</v>
      </c>
      <c r="I204" s="69"/>
      <c r="J204" s="69"/>
    </row>
    <row r="205" spans="1:10" ht="15" customHeight="1">
      <c r="A205" s="45"/>
      <c r="B205" s="64" t="s">
        <v>308</v>
      </c>
      <c r="C205" s="50"/>
      <c r="D205" s="42">
        <f t="shared" si="16"/>
        <v>39483</v>
      </c>
      <c r="E205" s="109">
        <v>450</v>
      </c>
      <c r="F205" s="109">
        <v>2015</v>
      </c>
      <c r="G205" s="42"/>
      <c r="H205" s="40">
        <f>'4.pielikums'!B181</f>
        <v>41948</v>
      </c>
      <c r="I205" s="69"/>
      <c r="J205" s="69"/>
    </row>
    <row r="206" spans="1:10" ht="15" customHeight="1">
      <c r="A206" s="45"/>
      <c r="B206" s="88" t="s">
        <v>39</v>
      </c>
      <c r="C206" s="55"/>
      <c r="D206" s="42">
        <f t="shared" si="16"/>
        <v>30556</v>
      </c>
      <c r="E206" s="109">
        <v>282</v>
      </c>
      <c r="F206" s="109">
        <v>806</v>
      </c>
      <c r="G206" s="42"/>
      <c r="H206" s="40">
        <f>'4.pielikums'!B182</f>
        <v>31644</v>
      </c>
      <c r="I206" s="69"/>
      <c r="J206" s="69"/>
    </row>
    <row r="207" spans="1:10" ht="15" customHeight="1">
      <c r="A207" s="45"/>
      <c r="B207" s="88" t="s">
        <v>40</v>
      </c>
      <c r="C207" s="55"/>
      <c r="D207" s="42">
        <f t="shared" si="16"/>
        <v>54583</v>
      </c>
      <c r="E207" s="109">
        <f>350+2467</f>
        <v>2817</v>
      </c>
      <c r="F207" s="110"/>
      <c r="G207" s="42"/>
      <c r="H207" s="40">
        <f>'4.pielikums'!B183</f>
        <v>57400</v>
      </c>
      <c r="I207" s="69"/>
      <c r="J207" s="69"/>
    </row>
    <row r="208" spans="1:10" ht="15" customHeight="1">
      <c r="A208" s="45"/>
      <c r="B208" s="64" t="s">
        <v>132</v>
      </c>
      <c r="C208" s="50"/>
      <c r="D208" s="42">
        <f t="shared" si="16"/>
        <v>40811</v>
      </c>
      <c r="E208" s="109">
        <v>6100</v>
      </c>
      <c r="F208" s="109">
        <v>403</v>
      </c>
      <c r="G208" s="42"/>
      <c r="H208" s="40">
        <f>'4.pielikums'!B184</f>
        <v>47314</v>
      </c>
      <c r="I208" s="69"/>
      <c r="J208" s="69"/>
    </row>
    <row r="209" spans="1:10" ht="15" customHeight="1">
      <c r="A209" s="45"/>
      <c r="B209" s="88" t="s">
        <v>309</v>
      </c>
      <c r="C209" s="55"/>
      <c r="D209" s="42">
        <f t="shared" si="16"/>
        <v>11889</v>
      </c>
      <c r="E209" s="109">
        <f>25+200</f>
        <v>225</v>
      </c>
      <c r="F209" s="110"/>
      <c r="G209" s="42"/>
      <c r="H209" s="40">
        <f>'4.pielikums'!B185</f>
        <v>12114</v>
      </c>
      <c r="I209" s="69"/>
      <c r="J209" s="69"/>
    </row>
    <row r="210" spans="1:10" ht="15" customHeight="1">
      <c r="A210" s="45"/>
      <c r="B210" s="127" t="s">
        <v>159</v>
      </c>
      <c r="C210" s="50"/>
      <c r="D210" s="42">
        <f t="shared" si="16"/>
        <v>31241</v>
      </c>
      <c r="E210" s="109">
        <v>5000</v>
      </c>
      <c r="F210" s="109">
        <v>1209</v>
      </c>
      <c r="G210" s="42"/>
      <c r="H210" s="40">
        <f>'4.pielikums'!B186</f>
        <v>37450</v>
      </c>
      <c r="I210" s="69"/>
      <c r="J210" s="69"/>
    </row>
    <row r="211" spans="1:10" ht="15" customHeight="1">
      <c r="A211" s="45"/>
      <c r="B211" s="88" t="s">
        <v>207</v>
      </c>
      <c r="C211" s="55"/>
      <c r="D211" s="42">
        <f t="shared" si="16"/>
        <v>24684</v>
      </c>
      <c r="E211" s="109">
        <f>50+560</f>
        <v>610</v>
      </c>
      <c r="F211" s="109"/>
      <c r="G211" s="42"/>
      <c r="H211" s="40">
        <f>'4.pielikums'!B187</f>
        <v>25294</v>
      </c>
      <c r="I211" s="69"/>
      <c r="J211" s="69"/>
    </row>
    <row r="212" spans="1:10" ht="15" customHeight="1">
      <c r="A212" s="45"/>
      <c r="B212" s="88" t="s">
        <v>198</v>
      </c>
      <c r="C212" s="55"/>
      <c r="D212" s="42">
        <f t="shared" si="16"/>
        <v>18416</v>
      </c>
      <c r="E212" s="109">
        <v>50</v>
      </c>
      <c r="F212" s="109"/>
      <c r="G212" s="42"/>
      <c r="H212" s="40">
        <f>'4.pielikums'!B188</f>
        <v>18466</v>
      </c>
      <c r="I212" s="69"/>
      <c r="J212" s="69"/>
    </row>
    <row r="213" spans="1:10" ht="15" customHeight="1">
      <c r="A213" s="45"/>
      <c r="B213" s="64" t="s">
        <v>192</v>
      </c>
      <c r="C213" s="50"/>
      <c r="D213" s="42">
        <f t="shared" si="16"/>
        <v>59282</v>
      </c>
      <c r="E213" s="109">
        <v>2500</v>
      </c>
      <c r="F213" s="109">
        <v>3224</v>
      </c>
      <c r="G213" s="42"/>
      <c r="H213" s="40">
        <f>'4.pielikums'!B189</f>
        <v>65006</v>
      </c>
      <c r="I213" s="69"/>
      <c r="J213" s="69"/>
    </row>
    <row r="214" spans="1:10" ht="15" customHeight="1">
      <c r="A214" s="45"/>
      <c r="B214" s="88" t="s">
        <v>218</v>
      </c>
      <c r="C214" s="55"/>
      <c r="D214" s="42">
        <f t="shared" si="16"/>
        <v>43048</v>
      </c>
      <c r="E214" s="109">
        <v>2897</v>
      </c>
      <c r="F214" s="109">
        <v>1209</v>
      </c>
      <c r="G214" s="42"/>
      <c r="H214" s="40">
        <f>'4.pielikums'!B190</f>
        <v>47154</v>
      </c>
      <c r="I214" s="69"/>
      <c r="J214" s="69"/>
    </row>
    <row r="215" spans="1:10" ht="15" customHeight="1">
      <c r="A215" s="45"/>
      <c r="B215" s="63" t="s">
        <v>209</v>
      </c>
      <c r="C215" s="50"/>
      <c r="D215" s="42">
        <f t="shared" si="16"/>
        <v>34190</v>
      </c>
      <c r="E215" s="109">
        <f>160+765</f>
        <v>925</v>
      </c>
      <c r="F215" s="109">
        <v>403</v>
      </c>
      <c r="G215" s="42"/>
      <c r="H215" s="40">
        <f>'4.pielikums'!B191</f>
        <v>35518</v>
      </c>
      <c r="I215" s="69"/>
      <c r="J215" s="69"/>
    </row>
    <row r="216" spans="1:10" ht="15" customHeight="1">
      <c r="A216" s="45"/>
      <c r="B216" s="88" t="s">
        <v>41</v>
      </c>
      <c r="C216" s="55"/>
      <c r="D216" s="42">
        <f t="shared" si="16"/>
        <v>26276</v>
      </c>
      <c r="E216" s="109">
        <v>600</v>
      </c>
      <c r="F216" s="109">
        <v>1209</v>
      </c>
      <c r="G216" s="42"/>
      <c r="H216" s="40">
        <f>'4.pielikums'!B192</f>
        <v>28085</v>
      </c>
      <c r="I216" s="69"/>
      <c r="J216" s="69"/>
    </row>
    <row r="217" spans="1:10" ht="15" customHeight="1">
      <c r="A217" s="45"/>
      <c r="B217" s="127" t="s">
        <v>157</v>
      </c>
      <c r="C217" s="50"/>
      <c r="D217" s="42">
        <f t="shared" si="16"/>
        <v>101627</v>
      </c>
      <c r="E217" s="109">
        <v>9600</v>
      </c>
      <c r="F217" s="109">
        <v>4030</v>
      </c>
      <c r="G217" s="42"/>
      <c r="H217" s="40">
        <f>'4.pielikums'!B193</f>
        <v>115257</v>
      </c>
      <c r="I217" s="69"/>
      <c r="J217" s="69"/>
    </row>
    <row r="218" spans="1:10" ht="15" customHeight="1">
      <c r="A218" s="45"/>
      <c r="B218" s="127" t="s">
        <v>156</v>
      </c>
      <c r="C218" s="50"/>
      <c r="D218" s="42">
        <f t="shared" si="16"/>
        <v>47152</v>
      </c>
      <c r="E218" s="109">
        <v>3770</v>
      </c>
      <c r="F218" s="109">
        <v>403</v>
      </c>
      <c r="G218" s="42"/>
      <c r="H218" s="40">
        <f>'4.pielikums'!B194</f>
        <v>51325</v>
      </c>
      <c r="I218" s="69"/>
      <c r="J218" s="69"/>
    </row>
    <row r="219" spans="1:10" ht="30" customHeight="1">
      <c r="A219" s="45"/>
      <c r="B219" s="127" t="s">
        <v>160</v>
      </c>
      <c r="C219" s="50"/>
      <c r="D219" s="42">
        <f t="shared" si="16"/>
        <v>30662</v>
      </c>
      <c r="E219" s="109">
        <v>1700</v>
      </c>
      <c r="F219" s="109">
        <v>1612</v>
      </c>
      <c r="G219" s="42"/>
      <c r="H219" s="40">
        <f>'4.pielikums'!B195</f>
        <v>33974</v>
      </c>
      <c r="I219" s="69"/>
      <c r="J219" s="69"/>
    </row>
    <row r="220" spans="1:10" ht="30" customHeight="1">
      <c r="A220" s="45"/>
      <c r="B220" s="127" t="s">
        <v>310</v>
      </c>
      <c r="C220" s="50"/>
      <c r="D220" s="42">
        <f>H220-E220-G220-F220-C220</f>
        <v>61085</v>
      </c>
      <c r="E220" s="109">
        <v>4675</v>
      </c>
      <c r="F220" s="109">
        <v>1612</v>
      </c>
      <c r="G220" s="42"/>
      <c r="H220" s="40">
        <f>'4.pielikums'!B196</f>
        <v>67372</v>
      </c>
      <c r="I220" s="69"/>
      <c r="J220" s="69"/>
    </row>
    <row r="221" spans="1:10" ht="15" customHeight="1">
      <c r="A221" s="2" t="s">
        <v>312</v>
      </c>
      <c r="B221" s="91" t="s">
        <v>313</v>
      </c>
      <c r="C221" s="59">
        <f>SUM(C222:C229)</f>
        <v>112700</v>
      </c>
      <c r="D221" s="59">
        <f t="shared" si="20" ref="D221:G221">=SUM(D222:D229)</f>
        <v>299993</v>
      </c>
      <c r="E221" s="59">
        <f t="shared" si="20"/>
        <v>0</v>
      </c>
      <c r="F221" s="59">
        <f t="shared" si="20"/>
        <v>0</v>
      </c>
      <c r="G221" s="59">
        <f t="shared" si="20"/>
        <v>283341</v>
      </c>
      <c r="H221" s="40">
        <f>SUM(H222:H229)</f>
        <v>696034</v>
      </c>
      <c r="I221" s="69"/>
      <c r="J221" s="69"/>
    </row>
    <row r="222" spans="1:10" ht="15" customHeight="1">
      <c r="A222" s="45"/>
      <c r="B222" s="64" t="s">
        <v>179</v>
      </c>
      <c r="C222" s="50"/>
      <c r="D222" s="42">
        <f t="shared" si="16"/>
        <v>56506</v>
      </c>
      <c r="E222" s="109"/>
      <c r="F222" s="109"/>
      <c r="G222" s="42"/>
      <c r="H222" s="40">
        <f>'4.pielikums'!B198</f>
        <v>56506</v>
      </c>
      <c r="I222" s="69"/>
      <c r="J222" s="69"/>
    </row>
    <row r="223" spans="1:10" ht="15" customHeight="1">
      <c r="A223" s="45"/>
      <c r="B223" s="64" t="s">
        <v>180</v>
      </c>
      <c r="C223" s="50"/>
      <c r="D223" s="42">
        <f t="shared" si="16"/>
        <v>36083</v>
      </c>
      <c r="E223" s="109"/>
      <c r="F223" s="109"/>
      <c r="G223" s="42"/>
      <c r="H223" s="40">
        <f>'4.pielikums'!B199</f>
        <v>36083</v>
      </c>
      <c r="I223" s="69"/>
      <c r="J223" s="69"/>
    </row>
    <row r="224" spans="1:10" ht="30" customHeight="1">
      <c r="A224" s="45"/>
      <c r="B224" s="63" t="s">
        <v>42</v>
      </c>
      <c r="C224" s="50"/>
      <c r="D224" s="42">
        <f t="shared" si="16"/>
        <v>62508</v>
      </c>
      <c r="E224" s="109"/>
      <c r="F224" s="109"/>
      <c r="G224" s="42"/>
      <c r="H224" s="40">
        <f>'4.pielikums'!B200</f>
        <v>62508</v>
      </c>
      <c r="I224" s="69"/>
      <c r="J224" s="69"/>
    </row>
    <row r="225" spans="1:10" ht="45" customHeight="1">
      <c r="A225" s="45"/>
      <c r="B225" s="127" t="s">
        <v>231</v>
      </c>
      <c r="C225" s="50"/>
      <c r="D225" s="42">
        <f t="shared" si="16"/>
        <v>7745</v>
      </c>
      <c r="E225" s="109"/>
      <c r="F225" s="109"/>
      <c r="G225" s="42"/>
      <c r="H225" s="40">
        <f>'4.pielikums'!B197</f>
        <v>7745</v>
      </c>
      <c r="I225" s="69"/>
      <c r="J225" s="69"/>
    </row>
    <row r="226" spans="1:10" ht="33.75" customHeight="1">
      <c r="A226" s="2"/>
      <c r="B226" s="63" t="s">
        <v>241</v>
      </c>
      <c r="C226" s="50"/>
      <c r="D226" s="42">
        <f>H226-E226-G226-F226-C226</f>
        <v>28301</v>
      </c>
      <c r="E226" s="109"/>
      <c r="F226" s="109">
        <v>0</v>
      </c>
      <c r="G226" s="42">
        <v>283341</v>
      </c>
      <c r="H226" s="40">
        <f>'4.pielikums'!B283</f>
        <v>311642</v>
      </c>
      <c r="I226" s="69"/>
      <c r="J226" s="69"/>
    </row>
    <row r="227" spans="1:10" ht="33.75" customHeight="1">
      <c r="A227" s="2"/>
      <c r="B227" s="63" t="s">
        <v>243</v>
      </c>
      <c r="C227" s="50">
        <v>112700</v>
      </c>
      <c r="D227" s="42">
        <f>H227-E227-G227-F227-C227</f>
        <v>75510</v>
      </c>
      <c r="E227" s="109"/>
      <c r="F227" s="109"/>
      <c r="G227" s="42"/>
      <c r="H227" s="40">
        <f>'4.pielikums'!B279</f>
        <v>188210</v>
      </c>
      <c r="I227" s="69"/>
      <c r="J227" s="69"/>
    </row>
    <row r="228" spans="1:10" ht="24.75" customHeight="1">
      <c r="A228" s="2"/>
      <c r="B228" s="63" t="s">
        <v>784</v>
      </c>
      <c r="C228" s="50"/>
      <c r="D228" s="42">
        <f>H228-E228-G228-F228-C228</f>
        <v>21130</v>
      </c>
      <c r="E228" s="109"/>
      <c r="F228" s="109"/>
      <c r="G228" s="42"/>
      <c r="H228" s="40">
        <f>'4.pielikums'!B290</f>
        <v>21130</v>
      </c>
      <c r="I228" s="69"/>
      <c r="J228" s="69"/>
    </row>
    <row r="229" spans="1:10" ht="30" customHeight="1">
      <c r="A229" s="2"/>
      <c r="B229" s="63" t="s">
        <v>766</v>
      </c>
      <c r="C229" s="50"/>
      <c r="D229" s="42">
        <f>H229-E229-G229-F229-C229</f>
        <v>12210</v>
      </c>
      <c r="E229" s="42"/>
      <c r="F229" s="42"/>
      <c r="G229" s="42"/>
      <c r="H229" s="40">
        <f>'4.pielikums'!B288</f>
        <v>12210</v>
      </c>
      <c r="I229" s="69"/>
      <c r="J229" s="69"/>
    </row>
    <row r="230" spans="1:10" ht="15" customHeight="1">
      <c r="A230" s="2" t="s">
        <v>314</v>
      </c>
      <c r="B230" s="85" t="s">
        <v>315</v>
      </c>
      <c r="C230" s="54">
        <f t="shared" si="21" ref="C230:H230">=C231+C239+C250+C258+C266+C268</f>
        <v>92019</v>
      </c>
      <c r="D230" s="54">
        <f>D231+D239+D250+D258+D266+D268</f>
        <v>8393401.9800000004</v>
      </c>
      <c r="E230" s="54">
        <f t="shared" si="21"/>
        <v>657848</v>
      </c>
      <c r="F230" s="54">
        <f>F231+F239+F250+F258+F266+F268</f>
        <v>5378490</v>
      </c>
      <c r="G230" s="54">
        <f t="shared" si="21"/>
        <v>96710</v>
      </c>
      <c r="H230" s="40">
        <f t="shared" si="21"/>
        <v>14618468.98</v>
      </c>
      <c r="I230" s="69"/>
      <c r="J230" s="69"/>
    </row>
    <row r="231" spans="1:10" ht="15" customHeight="1">
      <c r="A231" s="2"/>
      <c r="B231" s="85" t="s">
        <v>316</v>
      </c>
      <c r="C231" s="54">
        <f>SUM(C232:C237)</f>
        <v>0</v>
      </c>
      <c r="D231" s="54">
        <f t="shared" si="22" ref="D231:G231">=SUM(D232:D237)</f>
        <v>1793852</v>
      </c>
      <c r="E231" s="54">
        <f t="shared" si="22"/>
        <v>414194</v>
      </c>
      <c r="F231" s="54">
        <f t="shared" si="22"/>
        <v>412187</v>
      </c>
      <c r="G231" s="54">
        <f t="shared" si="22"/>
        <v>0</v>
      </c>
      <c r="H231" s="40">
        <f>SUM(H232:H237)</f>
        <v>2620233</v>
      </c>
      <c r="I231" s="69"/>
      <c r="J231" s="69"/>
    </row>
    <row r="232" spans="1:10" ht="15" customHeight="1">
      <c r="A232" s="45"/>
      <c r="B232" s="88" t="s">
        <v>43</v>
      </c>
      <c r="C232" s="55"/>
      <c r="D232" s="42">
        <f t="shared" si="23" ref="D232:D237">=H232-E232-G232-F232-C232</f>
        <v>541448</v>
      </c>
      <c r="E232" s="109">
        <f>41200+223168</f>
        <v>264368</v>
      </c>
      <c r="F232" s="109">
        <f>223168</f>
        <v>223168</v>
      </c>
      <c r="G232" s="42"/>
      <c r="H232" s="40">
        <f>'4.pielikums'!B201</f>
        <v>1028984</v>
      </c>
      <c r="I232" s="69"/>
      <c r="J232" s="69"/>
    </row>
    <row r="233" spans="1:10" ht="15" customHeight="1">
      <c r="A233" s="45"/>
      <c r="B233" s="88" t="s">
        <v>44</v>
      </c>
      <c r="C233" s="55"/>
      <c r="D233" s="42">
        <f t="shared" si="23"/>
        <v>480530</v>
      </c>
      <c r="E233" s="109">
        <f>25000+81680</f>
        <v>106680</v>
      </c>
      <c r="F233" s="109">
        <f>81680</f>
        <v>81680</v>
      </c>
      <c r="G233" s="42"/>
      <c r="H233" s="40">
        <f>'4.pielikums'!B202</f>
        <v>668890</v>
      </c>
      <c r="I233" s="69"/>
      <c r="J233" s="69"/>
    </row>
    <row r="234" spans="1:10" ht="15" customHeight="1">
      <c r="A234" s="45"/>
      <c r="B234" s="88" t="s">
        <v>45</v>
      </c>
      <c r="C234" s="55"/>
      <c r="D234" s="42">
        <f t="shared" si="23"/>
        <v>97708</v>
      </c>
      <c r="E234" s="109">
        <f>3700+12320</f>
        <v>16020</v>
      </c>
      <c r="F234" s="109">
        <f>12320</f>
        <v>12320</v>
      </c>
      <c r="G234" s="42"/>
      <c r="H234" s="40">
        <f>'4.pielikums'!B203</f>
        <v>126048</v>
      </c>
      <c r="I234" s="69"/>
      <c r="J234" s="69"/>
    </row>
    <row r="235" spans="1:10" ht="15" customHeight="1">
      <c r="A235" s="45"/>
      <c r="B235" s="88" t="s">
        <v>46</v>
      </c>
      <c r="C235" s="55"/>
      <c r="D235" s="42">
        <f t="shared" si="23"/>
        <v>299272</v>
      </c>
      <c r="E235" s="109">
        <f>12551+1875</f>
        <v>14426</v>
      </c>
      <c r="F235" s="109">
        <f>36616</f>
        <v>36616</v>
      </c>
      <c r="G235" s="42"/>
      <c r="H235" s="40">
        <f>'4.pielikums'!B204</f>
        <v>350314</v>
      </c>
      <c r="I235" s="69"/>
      <c r="J235" s="69"/>
    </row>
    <row r="236" spans="1:10" ht="30" customHeight="1">
      <c r="A236" s="45"/>
      <c r="B236" s="127" t="s">
        <v>166</v>
      </c>
      <c r="C236" s="50"/>
      <c r="D236" s="42">
        <f t="shared" si="23"/>
        <v>242827</v>
      </c>
      <c r="E236" s="109">
        <v>8300</v>
      </c>
      <c r="F236" s="109">
        <f>41499</f>
        <v>41499</v>
      </c>
      <c r="G236" s="42"/>
      <c r="H236" s="40">
        <f>'4.pielikums'!B205</f>
        <v>292626</v>
      </c>
      <c r="I236" s="69"/>
      <c r="J236" s="69"/>
    </row>
    <row r="237" spans="1:10" ht="30" customHeight="1">
      <c r="A237" s="45"/>
      <c r="B237" s="127" t="s">
        <v>167</v>
      </c>
      <c r="C237" s="50"/>
      <c r="D237" s="42">
        <f t="shared" si="23"/>
        <v>132067</v>
      </c>
      <c r="E237" s="109">
        <f>3850+550</f>
        <v>4400</v>
      </c>
      <c r="F237" s="109">
        <f>16904</f>
        <v>16904</v>
      </c>
      <c r="G237" s="42"/>
      <c r="H237" s="40">
        <f>'4.pielikums'!B206</f>
        <v>153371</v>
      </c>
      <c r="I237" s="69"/>
      <c r="J237" s="69"/>
    </row>
    <row r="238" spans="1:10" ht="31.5">
      <c r="A238" s="2"/>
      <c r="B238" s="133" t="s">
        <v>317</v>
      </c>
      <c r="C238" s="53"/>
      <c r="D238" s="42"/>
      <c r="E238" s="109"/>
      <c r="F238" s="109"/>
      <c r="G238" s="42"/>
      <c r="H238" s="40"/>
      <c r="I238" s="69"/>
      <c r="J238" s="69"/>
    </row>
    <row r="239" spans="1:10" ht="15" customHeight="1">
      <c r="A239" s="2"/>
      <c r="B239" s="85" t="s">
        <v>318</v>
      </c>
      <c r="C239" s="54">
        <f>SUM(C240:C249)</f>
        <v>0</v>
      </c>
      <c r="D239" s="54">
        <f t="shared" si="24" ref="D239:G239">=SUM(D240:D249)</f>
        <v>2229914</v>
      </c>
      <c r="E239" s="54">
        <f t="shared" si="24"/>
        <v>56950</v>
      </c>
      <c r="F239" s="54">
        <f t="shared" si="24"/>
        <v>1933929</v>
      </c>
      <c r="G239" s="54">
        <f t="shared" si="24"/>
        <v>0</v>
      </c>
      <c r="H239" s="40">
        <f>SUM(H240:H249)</f>
        <v>4220793</v>
      </c>
      <c r="I239" s="69"/>
      <c r="J239" s="69"/>
    </row>
    <row r="240" spans="1:10" ht="15" customHeight="1">
      <c r="A240" s="45"/>
      <c r="B240" s="88" t="s">
        <v>83</v>
      </c>
      <c r="C240" s="55"/>
      <c r="D240" s="42">
        <f t="shared" si="25" ref="D240:D298">=H240-E240-G240-F240-C240</f>
        <v>474144</v>
      </c>
      <c r="E240" s="109">
        <f>1332+6047</f>
        <v>7379</v>
      </c>
      <c r="F240" s="118">
        <f>17416+657336+81018</f>
        <v>755770</v>
      </c>
      <c r="G240" s="42"/>
      <c r="H240" s="40">
        <f>'4.pielikums'!B207</f>
        <v>1237293</v>
      </c>
      <c r="I240" s="69"/>
      <c r="J240" s="69"/>
    </row>
    <row r="241" spans="1:10" ht="15" customHeight="1">
      <c r="A241" s="45"/>
      <c r="B241" s="88" t="s">
        <v>174</v>
      </c>
      <c r="C241" s="55"/>
      <c r="D241" s="42">
        <f t="shared" si="25"/>
        <v>343254</v>
      </c>
      <c r="E241" s="109">
        <v>17074</v>
      </c>
      <c r="F241" s="109">
        <f>6605+105784+6096+16904</f>
        <v>135389</v>
      </c>
      <c r="G241" s="42"/>
      <c r="H241" s="40">
        <f>'4.pielikums'!B208</f>
        <v>495717</v>
      </c>
      <c r="I241" s="69"/>
      <c r="J241" s="69"/>
    </row>
    <row r="242" spans="1:10" ht="30" customHeight="1">
      <c r="A242" s="45"/>
      <c r="B242" s="111" t="s">
        <v>320</v>
      </c>
      <c r="C242" s="108"/>
      <c r="D242" s="109">
        <f t="shared" si="25"/>
        <v>27584</v>
      </c>
      <c r="E242" s="109">
        <v>100</v>
      </c>
      <c r="F242" s="109"/>
      <c r="G242" s="109"/>
      <c r="H242" s="40">
        <f>'4.pielikums'!B209</f>
        <v>27684</v>
      </c>
      <c r="I242" s="69"/>
      <c r="J242" s="69"/>
    </row>
    <row r="243" spans="1:10" ht="15" customHeight="1">
      <c r="A243" s="45"/>
      <c r="B243" s="88" t="s">
        <v>319</v>
      </c>
      <c r="C243" s="55"/>
      <c r="D243" s="42">
        <f t="shared" si="25"/>
        <v>219383</v>
      </c>
      <c r="E243" s="109">
        <v>7050</v>
      </c>
      <c r="F243" s="118">
        <f>5509+10912+214456+2176+55171+5509</f>
        <v>293733</v>
      </c>
      <c r="G243" s="42"/>
      <c r="H243" s="40">
        <f>'4.pielikums'!B210</f>
        <v>520166</v>
      </c>
      <c r="I243" s="69"/>
      <c r="J243" s="69"/>
    </row>
    <row r="244" spans="1:10" ht="15" customHeight="1">
      <c r="A244" s="45"/>
      <c r="B244" s="88" t="s">
        <v>47</v>
      </c>
      <c r="C244" s="55"/>
      <c r="D244" s="42">
        <f t="shared" si="25"/>
        <v>202612</v>
      </c>
      <c r="E244" s="109">
        <f>2574</f>
        <v>2574</v>
      </c>
      <c r="F244" s="109">
        <f>6341+4352+189800</f>
        <v>200493</v>
      </c>
      <c r="G244" s="42"/>
      <c r="H244" s="40">
        <f>'4.pielikums'!B211</f>
        <v>405679</v>
      </c>
      <c r="I244" s="69"/>
      <c r="J244" s="69"/>
    </row>
    <row r="245" spans="1:10" ht="15" customHeight="1">
      <c r="A245" s="45"/>
      <c r="B245" s="88" t="s">
        <v>236</v>
      </c>
      <c r="C245" s="55"/>
      <c r="D245" s="42">
        <f t="shared" si="25"/>
        <v>281107</v>
      </c>
      <c r="E245" s="109">
        <v>7988</v>
      </c>
      <c r="F245" s="109">
        <f>27585+10016+299232+11812+18304+7512</f>
        <v>374461</v>
      </c>
      <c r="G245" s="42"/>
      <c r="H245" s="40">
        <f>'4.pielikums'!B212</f>
        <v>663556</v>
      </c>
      <c r="I245" s="69"/>
      <c r="J245" s="69"/>
    </row>
    <row r="246" spans="1:10" ht="30" customHeight="1">
      <c r="A246" s="45"/>
      <c r="B246" s="64" t="s">
        <v>238</v>
      </c>
      <c r="C246" s="50"/>
      <c r="D246" s="42">
        <f t="shared" si="25"/>
        <v>143332</v>
      </c>
      <c r="E246" s="109">
        <v>7556</v>
      </c>
      <c r="F246" s="109"/>
      <c r="G246" s="42"/>
      <c r="H246" s="40">
        <f>'4.pielikums'!B213</f>
        <v>150888</v>
      </c>
      <c r="I246" s="69"/>
      <c r="J246" s="69"/>
    </row>
    <row r="247" spans="1:10" ht="30" customHeight="1">
      <c r="A247" s="45"/>
      <c r="B247" s="64" t="s">
        <v>237</v>
      </c>
      <c r="C247" s="50"/>
      <c r="D247" s="42">
        <f t="shared" si="25"/>
        <v>108097</v>
      </c>
      <c r="E247" s="109">
        <f>2819+500</f>
        <v>3319</v>
      </c>
      <c r="F247" s="109"/>
      <c r="G247" s="42"/>
      <c r="H247" s="40">
        <f>'4.pielikums'!B214</f>
        <v>111416</v>
      </c>
      <c r="I247" s="69"/>
      <c r="J247" s="69"/>
    </row>
    <row r="248" spans="1:10" ht="15" customHeight="1">
      <c r="A248" s="45"/>
      <c r="B248" s="127" t="s">
        <v>164</v>
      </c>
      <c r="C248" s="50"/>
      <c r="D248" s="42">
        <f t="shared" si="25"/>
        <v>297671</v>
      </c>
      <c r="E248" s="109">
        <v>2650</v>
      </c>
      <c r="F248" s="109">
        <f>2446+159280+4792+5640</f>
        <v>172158</v>
      </c>
      <c r="G248" s="42"/>
      <c r="H248" s="40">
        <f>'4.pielikums'!B215</f>
        <v>472479</v>
      </c>
      <c r="I248" s="69"/>
      <c r="J248" s="69"/>
    </row>
    <row r="249" spans="1:10" ht="15" customHeight="1">
      <c r="A249" s="45"/>
      <c r="B249" s="88" t="s">
        <v>261</v>
      </c>
      <c r="C249" s="55"/>
      <c r="D249" s="42">
        <f t="shared" si="25"/>
        <v>132730</v>
      </c>
      <c r="E249" s="109">
        <f>1150+110</f>
        <v>1260</v>
      </c>
      <c r="F249" s="109">
        <v>1925</v>
      </c>
      <c r="G249" s="42"/>
      <c r="H249" s="40">
        <f>'4.pielikums'!B216</f>
        <v>135915</v>
      </c>
      <c r="I249" s="69"/>
      <c r="J249" s="69"/>
    </row>
    <row r="250" spans="1:10" ht="15" customHeight="1">
      <c r="A250" s="2"/>
      <c r="B250" s="85" t="s">
        <v>321</v>
      </c>
      <c r="C250" s="54">
        <f>SUM(C251:C257)</f>
        <v>0</v>
      </c>
      <c r="D250" s="54">
        <f t="shared" si="26" ref="D250:G250">=SUM(D251:D257)</f>
        <v>2372250</v>
      </c>
      <c r="E250" s="54">
        <f t="shared" si="26"/>
        <v>75523</v>
      </c>
      <c r="F250" s="54">
        <f t="shared" si="26"/>
        <v>2029464</v>
      </c>
      <c r="G250" s="54">
        <f t="shared" si="26"/>
        <v>0</v>
      </c>
      <c r="H250" s="40">
        <f>SUM(H251:H257)</f>
        <v>4477237</v>
      </c>
      <c r="I250" s="69"/>
      <c r="J250" s="69"/>
    </row>
    <row r="251" spans="1:10" ht="15" customHeight="1">
      <c r="A251" s="45"/>
      <c r="B251" s="88" t="s">
        <v>48</v>
      </c>
      <c r="C251" s="55"/>
      <c r="D251" s="42">
        <f t="shared" si="25"/>
        <v>463741</v>
      </c>
      <c r="E251" s="109">
        <v>18072</v>
      </c>
      <c r="F251" s="109">
        <f>10448+503312</f>
        <v>513760</v>
      </c>
      <c r="G251" s="42"/>
      <c r="H251" s="40">
        <f>'4.pielikums'!B217</f>
        <v>995573</v>
      </c>
      <c r="I251" s="69"/>
      <c r="J251" s="69"/>
    </row>
    <row r="252" spans="1:10" ht="15" customHeight="1">
      <c r="A252" s="45"/>
      <c r="B252" s="88" t="s">
        <v>744</v>
      </c>
      <c r="C252" s="55"/>
      <c r="D252" s="42">
        <f t="shared" si="25"/>
        <v>334570</v>
      </c>
      <c r="E252" s="109">
        <v>8540</v>
      </c>
      <c r="F252" s="109">
        <f>11842+10448+259112</f>
        <v>281402</v>
      </c>
      <c r="G252" s="42"/>
      <c r="H252" s="40">
        <f>'4.pielikums'!B218</f>
        <v>624512</v>
      </c>
      <c r="I252" s="69"/>
      <c r="J252" s="69"/>
    </row>
    <row r="253" spans="1:10" ht="30" customHeight="1">
      <c r="A253" s="45"/>
      <c r="B253" s="64" t="s">
        <v>322</v>
      </c>
      <c r="C253" s="50"/>
      <c r="D253" s="42">
        <f t="shared" si="25"/>
        <v>401750</v>
      </c>
      <c r="E253" s="109">
        <v>9950</v>
      </c>
      <c r="F253" s="109">
        <f>10880+277968+182000</f>
        <v>470848</v>
      </c>
      <c r="G253" s="42"/>
      <c r="H253" s="40">
        <f>'4.pielikums'!B219</f>
        <v>882548</v>
      </c>
      <c r="I253" s="69"/>
      <c r="J253" s="69"/>
    </row>
    <row r="254" spans="1:10" ht="30" customHeight="1">
      <c r="A254" s="45"/>
      <c r="B254" s="64" t="s">
        <v>723</v>
      </c>
      <c r="C254" s="50"/>
      <c r="D254" s="42">
        <f t="shared" si="25"/>
        <v>85447</v>
      </c>
      <c r="E254" s="109">
        <v>16000</v>
      </c>
      <c r="F254" s="109">
        <v>3000</v>
      </c>
      <c r="G254" s="42"/>
      <c r="H254" s="40">
        <f>'4.pielikums'!B220</f>
        <v>104447</v>
      </c>
      <c r="I254" s="69"/>
      <c r="J254" s="69"/>
    </row>
    <row r="255" spans="1:10" ht="15" customHeight="1">
      <c r="A255" s="45"/>
      <c r="B255" s="64" t="s">
        <v>171</v>
      </c>
      <c r="C255" s="50"/>
      <c r="D255" s="42">
        <f t="shared" si="25"/>
        <v>214277</v>
      </c>
      <c r="E255" s="109">
        <f>1700+2500</f>
        <v>4200</v>
      </c>
      <c r="F255" s="109">
        <f>9472+30984+10016+170680</f>
        <v>221152</v>
      </c>
      <c r="G255" s="42"/>
      <c r="H255" s="40">
        <f>'4.pielikums'!B221</f>
        <v>439629</v>
      </c>
      <c r="I255" s="69"/>
      <c r="J255" s="69"/>
    </row>
    <row r="256" spans="1:10" ht="15" customHeight="1">
      <c r="A256" s="45"/>
      <c r="B256" s="64" t="s">
        <v>163</v>
      </c>
      <c r="C256" s="50"/>
      <c r="D256" s="42">
        <f t="shared" si="25"/>
        <v>413095</v>
      </c>
      <c r="E256" s="109">
        <f>4100+2201+1560+5440</f>
        <v>13301</v>
      </c>
      <c r="F256" s="109">
        <f>9698+38920+171656+6968</f>
        <v>227242</v>
      </c>
      <c r="G256" s="42"/>
      <c r="H256" s="40">
        <f>'4.pielikums'!B222</f>
        <v>653638</v>
      </c>
      <c r="I256" s="69"/>
      <c r="J256" s="69"/>
    </row>
    <row r="257" spans="1:10" ht="15" customHeight="1">
      <c r="A257" s="45"/>
      <c r="B257" s="64" t="s">
        <v>176</v>
      </c>
      <c r="C257" s="50"/>
      <c r="D257" s="42">
        <f t="shared" si="25"/>
        <v>459370</v>
      </c>
      <c r="E257" s="109">
        <v>5460</v>
      </c>
      <c r="F257" s="109">
        <f>12596+9144+242440+47880</f>
        <v>312060</v>
      </c>
      <c r="G257" s="42"/>
      <c r="H257" s="40">
        <f>'4.pielikums'!B223</f>
        <v>776890</v>
      </c>
      <c r="I257" s="69"/>
      <c r="J257" s="69"/>
    </row>
    <row r="258" spans="1:10" ht="30" customHeight="1">
      <c r="A258" s="60"/>
      <c r="B258" s="133" t="s">
        <v>323</v>
      </c>
      <c r="C258" s="54">
        <f>SUM(C259:C265)</f>
        <v>0</v>
      </c>
      <c r="D258" s="54">
        <f t="shared" si="27" ref="D258:G258">=SUM(D259:D265)</f>
        <v>1107962</v>
      </c>
      <c r="E258" s="54">
        <f t="shared" si="27"/>
        <v>104781</v>
      </c>
      <c r="F258" s="54">
        <f t="shared" si="27"/>
        <v>967524</v>
      </c>
      <c r="G258" s="54">
        <f t="shared" si="27"/>
        <v>0</v>
      </c>
      <c r="H258" s="40">
        <f>SUM(H259:H265)</f>
        <v>2180267</v>
      </c>
      <c r="I258" s="69"/>
      <c r="J258" s="69"/>
    </row>
    <row r="259" spans="1:10" ht="15" customHeight="1">
      <c r="A259" s="45"/>
      <c r="B259" s="88" t="s">
        <v>49</v>
      </c>
      <c r="C259" s="55"/>
      <c r="D259" s="42">
        <f t="shared" si="25"/>
        <v>164804</v>
      </c>
      <c r="E259" s="109">
        <v>10454</v>
      </c>
      <c r="F259" s="109">
        <f>336467+6528</f>
        <v>342995</v>
      </c>
      <c r="G259" s="42"/>
      <c r="H259" s="40">
        <f>'4.pielikums'!B224</f>
        <v>518253</v>
      </c>
      <c r="I259" s="69"/>
      <c r="J259" s="69"/>
    </row>
    <row r="260" spans="1:10" ht="15" customHeight="1">
      <c r="A260" s="45"/>
      <c r="B260" s="88" t="s">
        <v>50</v>
      </c>
      <c r="C260" s="55"/>
      <c r="D260" s="42">
        <f t="shared" si="25"/>
        <v>148383</v>
      </c>
      <c r="E260" s="109">
        <v>8020</v>
      </c>
      <c r="F260" s="109">
        <f>38727+2616</f>
        <v>41343</v>
      </c>
      <c r="G260" s="42"/>
      <c r="H260" s="40">
        <f>'4.pielikums'!B225</f>
        <v>197746</v>
      </c>
      <c r="I260" s="69"/>
      <c r="J260" s="69"/>
    </row>
    <row r="261" spans="1:10" ht="15" customHeight="1">
      <c r="A261" s="45"/>
      <c r="B261" s="63" t="s">
        <v>170</v>
      </c>
      <c r="C261" s="50"/>
      <c r="D261" s="42">
        <f t="shared" si="25"/>
        <v>107184</v>
      </c>
      <c r="E261" s="109">
        <v>1775</v>
      </c>
      <c r="F261" s="109">
        <f>432+63129</f>
        <v>63561</v>
      </c>
      <c r="G261" s="42"/>
      <c r="H261" s="40">
        <f>'4.pielikums'!B226</f>
        <v>172520</v>
      </c>
      <c r="I261" s="69"/>
      <c r="J261" s="69"/>
    </row>
    <row r="262" spans="1:10" ht="15" customHeight="1">
      <c r="A262" s="45"/>
      <c r="B262" s="127" t="s">
        <v>162</v>
      </c>
      <c r="C262" s="50"/>
      <c r="D262" s="42">
        <f t="shared" si="25"/>
        <v>44020</v>
      </c>
      <c r="E262" s="109">
        <f>4100+396</f>
        <v>4496</v>
      </c>
      <c r="F262" s="109">
        <f>99734+1744</f>
        <v>101478</v>
      </c>
      <c r="G262" s="42"/>
      <c r="H262" s="40">
        <f>'4.pielikums'!B227</f>
        <v>149994</v>
      </c>
      <c r="I262" s="69"/>
      <c r="J262" s="69"/>
    </row>
    <row r="263" spans="1:10" ht="15" customHeight="1">
      <c r="A263" s="45"/>
      <c r="B263" s="88" t="s">
        <v>51</v>
      </c>
      <c r="C263" s="55"/>
      <c r="D263" s="42">
        <f t="shared" si="25"/>
        <v>267379</v>
      </c>
      <c r="E263" s="109">
        <v>300</v>
      </c>
      <c r="F263" s="118">
        <f>374372+7960</f>
        <v>382332</v>
      </c>
      <c r="G263" s="42"/>
      <c r="H263" s="40">
        <f>'4.pielikums'!B228</f>
        <v>650011</v>
      </c>
      <c r="I263" s="69"/>
      <c r="J263" s="69"/>
    </row>
    <row r="264" spans="1:10" ht="15" customHeight="1">
      <c r="A264" s="45"/>
      <c r="B264" s="88" t="s">
        <v>324</v>
      </c>
      <c r="C264" s="55"/>
      <c r="D264" s="42">
        <f t="shared" si="25"/>
        <v>146863</v>
      </c>
      <c r="E264" s="109">
        <v>77384</v>
      </c>
      <c r="F264" s="110"/>
      <c r="G264" s="42"/>
      <c r="H264" s="40">
        <f>'4.pielikums'!B229</f>
        <v>224247</v>
      </c>
      <c r="I264" s="69"/>
      <c r="J264" s="69"/>
    </row>
    <row r="265" spans="1:10" ht="15" customHeight="1">
      <c r="A265" s="45"/>
      <c r="B265" s="88" t="s">
        <v>325</v>
      </c>
      <c r="C265" s="55"/>
      <c r="D265" s="42">
        <f t="shared" si="25"/>
        <v>229329</v>
      </c>
      <c r="E265" s="42">
        <v>2352</v>
      </c>
      <c r="F265" s="42">
        <v>35815</v>
      </c>
      <c r="G265" s="42"/>
      <c r="H265" s="40">
        <f>'4.pielikums'!B230</f>
        <v>267496</v>
      </c>
      <c r="I265" s="69"/>
      <c r="J265" s="69"/>
    </row>
    <row r="266" spans="1:10" ht="15" customHeight="1">
      <c r="A266" s="2"/>
      <c r="B266" s="133" t="s">
        <v>326</v>
      </c>
      <c r="C266" s="54">
        <f t="shared" si="28" ref="C266:H266">=C267</f>
        <v>0</v>
      </c>
      <c r="D266" s="54">
        <f t="shared" si="28"/>
        <v>245793</v>
      </c>
      <c r="E266" s="54">
        <f t="shared" si="28"/>
        <v>0</v>
      </c>
      <c r="F266" s="54">
        <f t="shared" si="28"/>
        <v>0</v>
      </c>
      <c r="G266" s="54">
        <f t="shared" si="28"/>
        <v>0</v>
      </c>
      <c r="H266" s="40">
        <f t="shared" si="28"/>
        <v>245793</v>
      </c>
      <c r="I266" s="69"/>
      <c r="J266" s="69"/>
    </row>
    <row r="267" spans="1:10" ht="15" customHeight="1">
      <c r="A267" s="51"/>
      <c r="B267" s="63" t="s">
        <v>169</v>
      </c>
      <c r="C267" s="50"/>
      <c r="D267" s="42">
        <f t="shared" si="25"/>
        <v>245793</v>
      </c>
      <c r="E267" s="42"/>
      <c r="F267" s="42"/>
      <c r="G267" s="42"/>
      <c r="H267" s="40">
        <f>'4.pielikums'!B231</f>
        <v>245793</v>
      </c>
      <c r="I267" s="69"/>
      <c r="J267" s="69"/>
    </row>
    <row r="268" spans="1:10" ht="30" customHeight="1">
      <c r="A268" s="58"/>
      <c r="B268" s="133" t="s">
        <v>327</v>
      </c>
      <c r="C268" s="54">
        <f t="shared" si="29" ref="C268:H268">=SUM(C269:C293)</f>
        <v>92019</v>
      </c>
      <c r="D268" s="54">
        <f t="shared" si="29"/>
        <v>643630.97999999998</v>
      </c>
      <c r="E268" s="54">
        <f t="shared" si="29"/>
        <v>6400</v>
      </c>
      <c r="F268" s="54">
        <f t="shared" si="29"/>
        <v>35386</v>
      </c>
      <c r="G268" s="54">
        <f t="shared" si="29"/>
        <v>96710</v>
      </c>
      <c r="H268" s="40">
        <f t="shared" si="29"/>
        <v>874145.97999999998</v>
      </c>
      <c r="I268" s="69"/>
      <c r="J268" s="69"/>
    </row>
    <row r="269" spans="1:10" ht="15" customHeight="1">
      <c r="A269" s="43"/>
      <c r="B269" s="111" t="s">
        <v>178</v>
      </c>
      <c r="C269" s="49"/>
      <c r="D269" s="42">
        <f t="shared" si="25"/>
        <v>51980</v>
      </c>
      <c r="E269" s="42">
        <f>5000</f>
        <v>5000</v>
      </c>
      <c r="F269" s="42"/>
      <c r="G269" s="42"/>
      <c r="H269" s="40">
        <f>'4.pielikums'!B232</f>
        <v>56980</v>
      </c>
      <c r="I269" s="69"/>
      <c r="J269" s="69"/>
    </row>
    <row r="270" spans="1:10" ht="15" customHeight="1">
      <c r="A270" s="45"/>
      <c r="B270" s="127" t="s">
        <v>67</v>
      </c>
      <c r="C270" s="49"/>
      <c r="D270" s="42">
        <f t="shared" si="25"/>
        <v>12789</v>
      </c>
      <c r="E270" s="42"/>
      <c r="F270" s="41">
        <v>0</v>
      </c>
      <c r="G270" s="42"/>
      <c r="H270" s="40">
        <f>'4.pielikums'!B233</f>
        <v>12789</v>
      </c>
      <c r="I270" s="69"/>
      <c r="J270" s="69"/>
    </row>
    <row r="271" spans="1:10" ht="15" customHeight="1">
      <c r="A271" s="45"/>
      <c r="B271" s="126" t="s">
        <v>211</v>
      </c>
      <c r="C271" s="49"/>
      <c r="D271" s="42">
        <f t="shared" si="25"/>
        <v>19080</v>
      </c>
      <c r="E271" s="42"/>
      <c r="F271" s="42"/>
      <c r="G271" s="42"/>
      <c r="H271" s="40">
        <f>'4.pielikums'!B234</f>
        <v>19080</v>
      </c>
      <c r="I271" s="69"/>
      <c r="J271" s="69"/>
    </row>
    <row r="272" spans="1:10" ht="30" customHeight="1">
      <c r="A272" s="45"/>
      <c r="B272" s="134" t="s">
        <v>196</v>
      </c>
      <c r="C272" s="49"/>
      <c r="D272" s="42">
        <f t="shared" si="25"/>
        <v>20934</v>
      </c>
      <c r="E272" s="42"/>
      <c r="F272" s="42"/>
      <c r="G272" s="42"/>
      <c r="H272" s="40">
        <f>'4.pielikums'!B235</f>
        <v>20934</v>
      </c>
      <c r="I272" s="69"/>
      <c r="J272" s="69"/>
    </row>
    <row r="273" spans="1:10" ht="15" customHeight="1">
      <c r="A273" s="43"/>
      <c r="B273" s="134" t="s">
        <v>197</v>
      </c>
      <c r="C273" s="49"/>
      <c r="D273" s="42">
        <f t="shared" si="25"/>
        <v>23077</v>
      </c>
      <c r="E273" s="42"/>
      <c r="F273" s="42"/>
      <c r="G273" s="42"/>
      <c r="H273" s="40">
        <f>'4.pielikums'!B236</f>
        <v>23077</v>
      </c>
      <c r="I273" s="69"/>
      <c r="J273" s="69"/>
    </row>
    <row r="274" spans="1:10" ht="15" customHeight="1">
      <c r="A274" s="43"/>
      <c r="B274" s="134" t="s">
        <v>193</v>
      </c>
      <c r="C274" s="49"/>
      <c r="D274" s="42">
        <f t="shared" si="25"/>
        <v>27334</v>
      </c>
      <c r="E274" s="42"/>
      <c r="F274" s="42"/>
      <c r="G274" s="42"/>
      <c r="H274" s="40">
        <f>'4.pielikums'!B237</f>
        <v>27334</v>
      </c>
      <c r="I274" s="69"/>
      <c r="J274" s="69"/>
    </row>
    <row r="275" spans="1:10" ht="15" customHeight="1">
      <c r="A275" s="43"/>
      <c r="B275" s="134" t="s">
        <v>214</v>
      </c>
      <c r="C275" s="49"/>
      <c r="D275" s="42">
        <f t="shared" si="25"/>
        <v>24564</v>
      </c>
      <c r="E275" s="42"/>
      <c r="F275" s="42"/>
      <c r="G275" s="42"/>
      <c r="H275" s="40">
        <f>'4.pielikums'!B238</f>
        <v>24564</v>
      </c>
      <c r="I275" s="69"/>
      <c r="J275" s="69"/>
    </row>
    <row r="276" spans="1:10" ht="15" customHeight="1">
      <c r="A276" s="43"/>
      <c r="B276" s="134" t="s">
        <v>195</v>
      </c>
      <c r="C276" s="49"/>
      <c r="D276" s="42">
        <f>H276-E276-G276-F276-C276</f>
        <v>21750</v>
      </c>
      <c r="E276" s="42"/>
      <c r="F276" s="42"/>
      <c r="G276" s="42"/>
      <c r="H276" s="40">
        <f>'4.pielikums'!B239</f>
        <v>21750</v>
      </c>
      <c r="I276" s="69"/>
      <c r="J276" s="69"/>
    </row>
    <row r="277" spans="1:10" ht="15" customHeight="1">
      <c r="A277" s="43"/>
      <c r="B277" s="135" t="s">
        <v>203</v>
      </c>
      <c r="C277" s="49"/>
      <c r="D277" s="42">
        <f t="shared" si="25"/>
        <v>94630</v>
      </c>
      <c r="E277" s="42"/>
      <c r="F277" s="42"/>
      <c r="G277" s="42"/>
      <c r="H277" s="40">
        <f>'4.pielikums'!B240</f>
        <v>94630</v>
      </c>
      <c r="I277" s="69"/>
      <c r="J277" s="69"/>
    </row>
    <row r="278" spans="1:10" ht="15" customHeight="1">
      <c r="A278" s="43"/>
      <c r="B278" s="134" t="s">
        <v>741</v>
      </c>
      <c r="C278" s="49"/>
      <c r="D278" s="42">
        <f t="shared" si="25"/>
        <v>23505</v>
      </c>
      <c r="E278" s="42">
        <v>200</v>
      </c>
      <c r="F278" s="42"/>
      <c r="G278" s="42"/>
      <c r="H278" s="40">
        <f>'4.pielikums'!B241</f>
        <v>23705</v>
      </c>
      <c r="I278" s="69"/>
      <c r="J278" s="69"/>
    </row>
    <row r="279" spans="1:10" ht="15" customHeight="1">
      <c r="A279" s="43"/>
      <c r="B279" s="134" t="s">
        <v>161</v>
      </c>
      <c r="C279" s="49"/>
      <c r="D279" s="42">
        <f t="shared" si="25"/>
        <v>27744</v>
      </c>
      <c r="E279" s="109">
        <v>900</v>
      </c>
      <c r="F279" s="42"/>
      <c r="G279" s="42"/>
      <c r="H279" s="40">
        <f>'4.pielikums'!B242</f>
        <v>28644</v>
      </c>
      <c r="I279" s="69"/>
      <c r="J279" s="69"/>
    </row>
    <row r="280" spans="1:10" ht="15" customHeight="1">
      <c r="A280" s="43"/>
      <c r="B280" s="136" t="s">
        <v>216</v>
      </c>
      <c r="C280" s="49"/>
      <c r="D280" s="42">
        <f t="shared" si="25"/>
        <v>35852</v>
      </c>
      <c r="E280" s="42"/>
      <c r="F280" s="42"/>
      <c r="G280" s="42"/>
      <c r="H280" s="40">
        <f>'4.pielikums'!B243</f>
        <v>35852</v>
      </c>
      <c r="I280" s="69"/>
      <c r="J280" s="69"/>
    </row>
    <row r="281" spans="1:10" ht="15" customHeight="1">
      <c r="A281" s="43"/>
      <c r="B281" s="134" t="s">
        <v>210</v>
      </c>
      <c r="C281" s="49"/>
      <c r="D281" s="42">
        <f t="shared" si="25"/>
        <v>21643</v>
      </c>
      <c r="E281" s="42"/>
      <c r="F281" s="42"/>
      <c r="G281" s="42"/>
      <c r="H281" s="40">
        <f>'4.pielikums'!B244</f>
        <v>21643</v>
      </c>
      <c r="I281" s="69"/>
      <c r="J281" s="69"/>
    </row>
    <row r="282" spans="1:10" ht="15" customHeight="1">
      <c r="A282" s="43"/>
      <c r="B282" s="134" t="s">
        <v>212</v>
      </c>
      <c r="C282" s="49"/>
      <c r="D282" s="42">
        <f t="shared" si="25"/>
        <v>24653.98</v>
      </c>
      <c r="E282" s="42">
        <v>300</v>
      </c>
      <c r="F282" s="42"/>
      <c r="G282" s="42"/>
      <c r="H282" s="40">
        <f>'4.pielikums'!B245</f>
        <v>24953.98</v>
      </c>
      <c r="I282" s="69"/>
      <c r="J282" s="69"/>
    </row>
    <row r="283" spans="1:10" ht="15" customHeight="1">
      <c r="A283" s="43"/>
      <c r="B283" s="134" t="s">
        <v>202</v>
      </c>
      <c r="C283" s="49"/>
      <c r="D283" s="42">
        <f t="shared" si="25"/>
        <v>28778</v>
      </c>
      <c r="E283" s="42"/>
      <c r="F283" s="42"/>
      <c r="G283" s="42"/>
      <c r="H283" s="40">
        <f>'4.pielikums'!B246</f>
        <v>28778</v>
      </c>
      <c r="I283" s="69"/>
      <c r="J283" s="69"/>
    </row>
    <row r="284" spans="1:10" ht="15" customHeight="1">
      <c r="A284" s="43"/>
      <c r="B284" s="64" t="s">
        <v>52</v>
      </c>
      <c r="C284" s="49"/>
      <c r="D284" s="42">
        <f t="shared" si="25"/>
        <v>8000</v>
      </c>
      <c r="E284" s="42"/>
      <c r="F284" s="42"/>
      <c r="G284" s="42"/>
      <c r="H284" s="40">
        <f>'4.pielikums'!B247</f>
        <v>8000</v>
      </c>
      <c r="I284" s="69"/>
      <c r="J284" s="69"/>
    </row>
    <row r="285" spans="1:10" ht="30" customHeight="1">
      <c r="A285" s="43"/>
      <c r="B285" s="63" t="s">
        <v>81</v>
      </c>
      <c r="C285" s="49"/>
      <c r="D285" s="42">
        <f>H285-E285-G285-F285-C285</f>
        <v>140000</v>
      </c>
      <c r="E285" s="62"/>
      <c r="F285" s="42"/>
      <c r="G285" s="42"/>
      <c r="H285" s="40">
        <f>'4.pielikums'!B248</f>
        <v>140000</v>
      </c>
      <c r="I285" s="69"/>
      <c r="J285" s="69"/>
    </row>
    <row r="286" spans="1:10" ht="30" customHeight="1">
      <c r="A286" s="43"/>
      <c r="B286" s="63" t="s">
        <v>64</v>
      </c>
      <c r="C286" s="49">
        <v>3561</v>
      </c>
      <c r="D286" s="42">
        <f t="shared" si="25"/>
        <v>0</v>
      </c>
      <c r="E286" s="42"/>
      <c r="F286" s="42"/>
      <c r="G286" s="42"/>
      <c r="H286" s="40">
        <f>'4.pielikums'!B249</f>
        <v>3561</v>
      </c>
      <c r="I286" s="69"/>
      <c r="J286" s="69"/>
    </row>
    <row r="287" spans="1:10" ht="30" customHeight="1">
      <c r="A287" s="51"/>
      <c r="B287" s="63" t="s">
        <v>229</v>
      </c>
      <c r="C287" s="49">
        <v>26568</v>
      </c>
      <c r="D287" s="42">
        <f t="shared" si="25"/>
        <v>0</v>
      </c>
      <c r="E287" s="42"/>
      <c r="F287" s="42"/>
      <c r="G287" s="42"/>
      <c r="H287" s="40">
        <f>'4.pielikums'!B250</f>
        <v>26568</v>
      </c>
      <c r="I287" s="69"/>
      <c r="J287" s="69"/>
    </row>
    <row r="288" spans="1:10" ht="30" customHeight="1">
      <c r="A288" s="51"/>
      <c r="B288" s="127" t="s">
        <v>165</v>
      </c>
      <c r="C288" s="49">
        <v>38588</v>
      </c>
      <c r="D288" s="42">
        <f t="shared" si="25"/>
        <v>0</v>
      </c>
      <c r="E288" s="42"/>
      <c r="F288" s="42">
        <v>20000</v>
      </c>
      <c r="G288" s="42"/>
      <c r="H288" s="40">
        <f>'4.pielikums'!B251</f>
        <v>58588</v>
      </c>
      <c r="I288" s="69"/>
      <c r="J288" s="69"/>
    </row>
    <row r="289" spans="1:10" ht="45" customHeight="1">
      <c r="A289" s="51"/>
      <c r="B289" s="65" t="s">
        <v>778</v>
      </c>
      <c r="C289" s="49">
        <v>19846</v>
      </c>
      <c r="D289" s="42">
        <f t="shared" si="25"/>
        <v>0</v>
      </c>
      <c r="E289" s="42"/>
      <c r="F289" s="42">
        <v>6386</v>
      </c>
      <c r="G289" s="42"/>
      <c r="H289" s="40">
        <f>'4.pielikums'!B252</f>
        <v>26232</v>
      </c>
      <c r="I289" s="69"/>
      <c r="J289" s="69"/>
    </row>
    <row r="290" spans="1:10" ht="45" customHeight="1">
      <c r="A290" s="51"/>
      <c r="B290" s="65" t="s">
        <v>262</v>
      </c>
      <c r="C290" s="49">
        <v>901</v>
      </c>
      <c r="D290" s="42">
        <f t="shared" si="25"/>
        <v>0</v>
      </c>
      <c r="E290" s="42"/>
      <c r="F290" s="42">
        <v>8000</v>
      </c>
      <c r="G290" s="42"/>
      <c r="H290" s="40">
        <f>'4.pielikums'!B253</f>
        <v>8901</v>
      </c>
      <c r="I290" s="69"/>
      <c r="J290" s="69"/>
    </row>
    <row r="291" spans="1:10" ht="63.75" customHeight="1">
      <c r="A291" s="51"/>
      <c r="B291" s="65" t="s">
        <v>775</v>
      </c>
      <c r="C291" s="49">
        <v>2555</v>
      </c>
      <c r="D291" s="42">
        <f t="shared" si="25"/>
        <v>0</v>
      </c>
      <c r="E291" s="42"/>
      <c r="F291" s="42">
        <v>1000</v>
      </c>
      <c r="G291" s="42"/>
      <c r="H291" s="40">
        <f>'4.pielikums'!B254</f>
        <v>3555</v>
      </c>
      <c r="I291" s="69"/>
      <c r="J291" s="69"/>
    </row>
    <row r="292" spans="1:10" ht="20.25" customHeight="1">
      <c r="A292" s="51"/>
      <c r="B292" s="63" t="s">
        <v>255</v>
      </c>
      <c r="C292" s="49"/>
      <c r="D292" s="42">
        <f t="shared" si="25"/>
        <v>37317</v>
      </c>
      <c r="E292" s="42"/>
      <c r="F292" s="42"/>
      <c r="G292" s="42"/>
      <c r="H292" s="40">
        <f>'4.pielikums'!B255</f>
        <v>37317</v>
      </c>
      <c r="I292" s="69"/>
      <c r="J292" s="69"/>
    </row>
    <row r="293" spans="1:10" ht="37.5" customHeight="1">
      <c r="A293" s="51"/>
      <c r="B293" s="63" t="s">
        <v>253</v>
      </c>
      <c r="C293" s="49"/>
      <c r="D293" s="42">
        <f t="shared" si="25"/>
        <v>0</v>
      </c>
      <c r="E293" s="42"/>
      <c r="F293" s="42"/>
      <c r="G293" s="42">
        <f>85000+11710</f>
        <v>96710</v>
      </c>
      <c r="H293" s="40">
        <f>'4.pielikums'!B256</f>
        <v>96710</v>
      </c>
      <c r="I293" s="69"/>
      <c r="J293" s="69"/>
    </row>
    <row r="294" spans="1:10" ht="15" customHeight="1">
      <c r="A294" s="2" t="s">
        <v>328</v>
      </c>
      <c r="B294" s="85" t="s">
        <v>329</v>
      </c>
      <c r="C294" s="54">
        <f t="shared" si="30" ref="C294:H294">=C295+C296</f>
        <v>115160</v>
      </c>
      <c r="D294" s="54">
        <f t="shared" si="30"/>
        <v>3257830</v>
      </c>
      <c r="E294" s="156">
        <f t="shared" si="30"/>
        <v>1781587</v>
      </c>
      <c r="F294" s="54">
        <f t="shared" si="30"/>
        <v>948493</v>
      </c>
      <c r="G294" s="54">
        <f t="shared" si="30"/>
        <v>0</v>
      </c>
      <c r="H294" s="40">
        <f t="shared" si="30"/>
        <v>6103070</v>
      </c>
      <c r="I294" s="69"/>
      <c r="J294" s="69"/>
    </row>
    <row r="295" spans="1:10" ht="15" customHeight="1">
      <c r="A295" s="2"/>
      <c r="B295" s="88" t="s">
        <v>54</v>
      </c>
      <c r="C295" s="55"/>
      <c r="D295" s="42">
        <f t="shared" si="25"/>
        <v>207845</v>
      </c>
      <c r="E295" s="109">
        <v>10000</v>
      </c>
      <c r="F295" s="42"/>
      <c r="G295" s="42"/>
      <c r="H295" s="40">
        <f>'4.pielikums'!B257</f>
        <v>217845</v>
      </c>
      <c r="I295" s="69"/>
      <c r="J295" s="69"/>
    </row>
    <row r="296" spans="1:10" ht="30" customHeight="1">
      <c r="A296" s="58"/>
      <c r="B296" s="133" t="s">
        <v>330</v>
      </c>
      <c r="C296" s="54">
        <f>SUM(C297:C314)</f>
        <v>115160</v>
      </c>
      <c r="D296" s="54">
        <f t="shared" si="31" ref="D296:G296">=SUM(D297:D314)</f>
        <v>3049985</v>
      </c>
      <c r="E296" s="54">
        <f t="shared" si="31"/>
        <v>1771587</v>
      </c>
      <c r="F296" s="54">
        <f t="shared" si="31"/>
        <v>948493</v>
      </c>
      <c r="G296" s="54">
        <f t="shared" si="31"/>
        <v>0</v>
      </c>
      <c r="H296" s="40">
        <f>SUM(H297:H314)</f>
        <v>5885225</v>
      </c>
      <c r="I296" s="69"/>
      <c r="J296" s="69"/>
    </row>
    <row r="297" spans="1:10" ht="15" customHeight="1">
      <c r="A297" s="2"/>
      <c r="B297" s="88" t="s">
        <v>186</v>
      </c>
      <c r="C297" s="55"/>
      <c r="D297" s="42">
        <f t="shared" si="25"/>
        <v>620880</v>
      </c>
      <c r="E297" s="109">
        <v>2857</v>
      </c>
      <c r="F297" s="42"/>
      <c r="G297" s="42"/>
      <c r="H297" s="40">
        <f>'4.pielikums'!B258</f>
        <v>623737</v>
      </c>
      <c r="I297" s="69"/>
      <c r="J297" s="69"/>
    </row>
    <row r="298" spans="1:10" ht="15" customHeight="1">
      <c r="A298" s="2"/>
      <c r="B298" s="88" t="s">
        <v>240</v>
      </c>
      <c r="C298" s="55"/>
      <c r="D298" s="42">
        <f t="shared" si="25"/>
        <v>777591</v>
      </c>
      <c r="E298" s="109"/>
      <c r="F298" s="109">
        <v>306409</v>
      </c>
      <c r="G298" s="42"/>
      <c r="H298" s="40">
        <f>'4.pielikums'!B259</f>
        <v>1084000</v>
      </c>
      <c r="I298" s="69"/>
      <c r="J298" s="69"/>
    </row>
    <row r="299" spans="1:10" ht="15" customHeight="1">
      <c r="A299" s="2"/>
      <c r="B299" s="88" t="s">
        <v>182</v>
      </c>
      <c r="C299" s="55"/>
      <c r="D299" s="42">
        <f t="shared" si="32" ref="D299:D314">=H299-E299-G299-F299-C299</f>
        <v>19690</v>
      </c>
      <c r="E299" s="109"/>
      <c r="F299" s="42"/>
      <c r="G299" s="42"/>
      <c r="H299" s="40">
        <f>'4.pielikums'!B260</f>
        <v>19690</v>
      </c>
      <c r="I299" s="69"/>
      <c r="J299" s="69"/>
    </row>
    <row r="300" spans="1:10" ht="15" customHeight="1">
      <c r="A300" s="2"/>
      <c r="B300" s="88" t="s">
        <v>55</v>
      </c>
      <c r="C300" s="55"/>
      <c r="D300" s="42">
        <f t="shared" si="32"/>
        <v>11537</v>
      </c>
      <c r="E300" s="109">
        <f>10600</f>
        <v>10600</v>
      </c>
      <c r="F300" s="42"/>
      <c r="G300" s="42"/>
      <c r="H300" s="40">
        <f>'4.pielikums'!B261</f>
        <v>22137</v>
      </c>
      <c r="I300" s="69"/>
      <c r="J300" s="69"/>
    </row>
    <row r="301" spans="1:10" ht="15" customHeight="1">
      <c r="A301" s="2"/>
      <c r="B301" s="88" t="s">
        <v>66</v>
      </c>
      <c r="C301" s="55"/>
      <c r="D301" s="42">
        <f t="shared" si="32"/>
        <v>268662</v>
      </c>
      <c r="E301" s="109">
        <v>1510</v>
      </c>
      <c r="F301" s="102"/>
      <c r="G301" s="42"/>
      <c r="H301" s="40">
        <f>'4.pielikums'!B262</f>
        <v>270172</v>
      </c>
      <c r="I301" s="69"/>
      <c r="J301" s="69"/>
    </row>
    <row r="302" spans="1:10" ht="15" customHeight="1">
      <c r="A302" s="45"/>
      <c r="B302" s="88" t="s">
        <v>53</v>
      </c>
      <c r="C302" s="55">
        <v>59367</v>
      </c>
      <c r="D302" s="42">
        <f t="shared" si="32"/>
        <v>593980</v>
      </c>
      <c r="E302" s="109">
        <v>1176617</v>
      </c>
      <c r="F302" s="42"/>
      <c r="G302" s="42"/>
      <c r="H302" s="40">
        <f>'4.pielikums'!B263</f>
        <v>1829964</v>
      </c>
      <c r="I302" s="69"/>
      <c r="J302" s="69"/>
    </row>
    <row r="303" spans="1:10" ht="15" customHeight="1">
      <c r="A303" s="45"/>
      <c r="B303" s="64" t="s">
        <v>129</v>
      </c>
      <c r="C303" s="50"/>
      <c r="D303" s="42">
        <f t="shared" si="32"/>
        <v>173795</v>
      </c>
      <c r="E303" s="42">
        <v>166314</v>
      </c>
      <c r="F303" s="42"/>
      <c r="G303" s="42"/>
      <c r="H303" s="40">
        <f>'4.pielikums'!B264</f>
        <v>340109</v>
      </c>
      <c r="I303" s="69"/>
      <c r="J303" s="69"/>
    </row>
    <row r="304" spans="1:10" ht="15" customHeight="1">
      <c r="A304" s="45"/>
      <c r="B304" s="137" t="s">
        <v>131</v>
      </c>
      <c r="C304" s="50"/>
      <c r="D304" s="42">
        <f t="shared" si="32"/>
        <v>61252</v>
      </c>
      <c r="E304" s="42">
        <v>157128</v>
      </c>
      <c r="F304" s="102"/>
      <c r="G304" s="42"/>
      <c r="H304" s="40">
        <f>'4.pielikums'!B265</f>
        <v>218380</v>
      </c>
      <c r="I304" s="69"/>
      <c r="J304" s="69"/>
    </row>
    <row r="305" spans="1:10" ht="15" customHeight="1">
      <c r="A305" s="45"/>
      <c r="B305" s="139" t="s">
        <v>130</v>
      </c>
      <c r="C305" s="50"/>
      <c r="D305" s="42">
        <f t="shared" si="32"/>
        <v>88680</v>
      </c>
      <c r="E305" s="42">
        <v>216583</v>
      </c>
      <c r="F305" s="42"/>
      <c r="G305" s="42"/>
      <c r="H305" s="40">
        <f>'4.pielikums'!B266</f>
        <v>305263</v>
      </c>
      <c r="I305" s="69"/>
      <c r="J305" s="69"/>
    </row>
    <row r="306" spans="1:10" ht="30" customHeight="1">
      <c r="A306" s="45"/>
      <c r="B306" s="63" t="s">
        <v>84</v>
      </c>
      <c r="C306" s="50"/>
      <c r="D306" s="42">
        <f t="shared" si="32"/>
        <v>234761</v>
      </c>
      <c r="E306" s="42">
        <v>22666</v>
      </c>
      <c r="F306" s="102"/>
      <c r="G306" s="42"/>
      <c r="H306" s="40">
        <f>'4.pielikums'!B267</f>
        <v>257427</v>
      </c>
      <c r="I306" s="69"/>
      <c r="J306" s="69"/>
    </row>
    <row r="307" spans="1:10" ht="30" customHeight="1">
      <c r="A307" s="45"/>
      <c r="B307" s="65" t="s">
        <v>187</v>
      </c>
      <c r="C307" s="50"/>
      <c r="D307" s="42">
        <f t="shared" si="32"/>
        <v>73881</v>
      </c>
      <c r="E307" s="42"/>
      <c r="F307" s="102"/>
      <c r="G307" s="42"/>
      <c r="H307" s="40">
        <f>'4.pielikums'!B268</f>
        <v>73881</v>
      </c>
      <c r="I307" s="69"/>
      <c r="J307" s="69"/>
    </row>
    <row r="308" spans="1:10" ht="30" customHeight="1">
      <c r="A308" s="45"/>
      <c r="B308" s="127" t="s">
        <v>188</v>
      </c>
      <c r="C308" s="50"/>
      <c r="D308" s="42">
        <f t="shared" si="32"/>
        <v>118584</v>
      </c>
      <c r="E308" s="42">
        <v>16345</v>
      </c>
      <c r="F308" s="102"/>
      <c r="G308" s="42"/>
      <c r="H308" s="40">
        <f>'4.pielikums'!B269</f>
        <v>134929</v>
      </c>
      <c r="I308" s="69"/>
      <c r="J308" s="69"/>
    </row>
    <row r="309" spans="1:10" ht="30" customHeight="1">
      <c r="A309" s="45"/>
      <c r="B309" s="65" t="s">
        <v>172</v>
      </c>
      <c r="C309" s="50"/>
      <c r="D309" s="42">
        <f t="shared" si="32"/>
        <v>4601</v>
      </c>
      <c r="E309" s="42">
        <f>600</f>
        <v>600</v>
      </c>
      <c r="F309" s="42"/>
      <c r="G309" s="42"/>
      <c r="H309" s="40">
        <f>'4.pielikums'!B270</f>
        <v>5201</v>
      </c>
      <c r="I309" s="69"/>
      <c r="J309" s="69"/>
    </row>
    <row r="310" spans="1:10" ht="30" customHeight="1">
      <c r="A310" s="45"/>
      <c r="B310" s="65" t="s">
        <v>694</v>
      </c>
      <c r="C310" s="50"/>
      <c r="D310" s="42">
        <f t="shared" si="32"/>
        <v>133</v>
      </c>
      <c r="E310" s="42">
        <v>367</v>
      </c>
      <c r="F310" s="42"/>
      <c r="G310" s="42"/>
      <c r="H310" s="40">
        <f>'4.pielikums'!B271</f>
        <v>500</v>
      </c>
      <c r="I310" s="69"/>
      <c r="J310" s="69"/>
    </row>
    <row r="311" spans="1:10" ht="30" customHeight="1">
      <c r="A311" s="45"/>
      <c r="B311" s="63" t="s">
        <v>332</v>
      </c>
      <c r="C311" s="50"/>
      <c r="D311" s="42">
        <f t="shared" si="32"/>
        <v>0</v>
      </c>
      <c r="E311" s="42"/>
      <c r="F311" s="42">
        <v>632852</v>
      </c>
      <c r="G311" s="42"/>
      <c r="H311" s="40">
        <f>'4.pielikums'!B272</f>
        <v>632852</v>
      </c>
      <c r="I311" s="69"/>
      <c r="J311" s="69"/>
    </row>
    <row r="312" spans="1:10" ht="30" customHeight="1">
      <c r="A312" s="45"/>
      <c r="B312" s="63" t="s">
        <v>62</v>
      </c>
      <c r="C312" s="50">
        <v>42383</v>
      </c>
      <c r="D312" s="42">
        <f t="shared" si="32"/>
        <v>0</v>
      </c>
      <c r="E312" s="42"/>
      <c r="F312" s="42">
        <v>0</v>
      </c>
      <c r="G312" s="42"/>
      <c r="H312" s="40">
        <f>'4.pielikums'!B273</f>
        <v>42383</v>
      </c>
      <c r="I312" s="69"/>
      <c r="J312" s="69"/>
    </row>
    <row r="313" spans="1:10" ht="30" customHeight="1">
      <c r="A313" s="45"/>
      <c r="B313" s="64" t="s">
        <v>61</v>
      </c>
      <c r="C313" s="50">
        <v>13410</v>
      </c>
      <c r="D313" s="42">
        <f t="shared" si="32"/>
        <v>458</v>
      </c>
      <c r="E313" s="42"/>
      <c r="F313" s="42">
        <v>9232</v>
      </c>
      <c r="G313" s="42"/>
      <c r="H313" s="40">
        <f>'4.pielikums'!B274</f>
        <v>23100</v>
      </c>
      <c r="I313" s="69"/>
      <c r="J313" s="69"/>
    </row>
    <row r="314" spans="1:10" ht="30" customHeight="1">
      <c r="A314" s="45"/>
      <c r="B314" s="129" t="s">
        <v>331</v>
      </c>
      <c r="C314" s="50"/>
      <c r="D314" s="42">
        <f t="shared" si="32"/>
        <v>1500</v>
      </c>
      <c r="E314" s="42"/>
      <c r="F314" s="42"/>
      <c r="G314" s="42"/>
      <c r="H314" s="40">
        <f>'4.pielikums'!B275+'4.pielikums'!B276+'4.pielikums'!B277+'4.pielikums'!B278</f>
        <v>1500</v>
      </c>
      <c r="I314" s="69"/>
      <c r="J314" s="69"/>
    </row>
    <row r="315" spans="2:3" ht="15.75">
      <c r="B315" s="71"/>
      <c r="C315" s="6"/>
    </row>
    <row r="316" spans="2:3" ht="18.75">
      <c r="B316" s="72" t="s">
        <v>333</v>
      </c>
      <c r="C316" s="6"/>
    </row>
    <row r="317" spans="2:3" ht="15.75">
      <c r="B317" s="47"/>
      <c r="C317" s="6"/>
    </row>
  </sheetData>
  <mergeCells count="6">
    <mergeCell ref="H9:H10"/>
    <mergeCell ref="B6:G6"/>
    <mergeCell ref="B7:G7"/>
    <mergeCell ref="A9:A10"/>
    <mergeCell ref="B9:B10"/>
    <mergeCell ref="D9:G9"/>
  </mergeCells>
  <pageMargins left="0.7" right="0.7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21E2104-55E1-48FD-A0F9-DBE6D45828A7}">
  <sheetPr>
    <pageSetUpPr fitToPage="1"/>
  </sheetPr>
  <dimension ref="A1:T304"/>
  <sheetViews>
    <sheetView tabSelected="1" zoomScale="96" zoomScaleNormal="96" workbookViewId="0" topLeftCell="A1">
      <selection pane="topLeft" activeCell="Q3" sqref="Q3"/>
    </sheetView>
  </sheetViews>
  <sheetFormatPr defaultColWidth="9.144285714285713" defaultRowHeight="15"/>
  <cols>
    <col min="1" max="1" width="40.57142857142857" style="47" customWidth="1"/>
    <col min="2" max="2" width="13.428571428571429" style="147" customWidth="1"/>
    <col min="3" max="3" width="14.857142857142858" style="47" customWidth="1"/>
    <col min="4" max="4" width="12" style="47" hidden="1" customWidth="1"/>
    <col min="5" max="5" width="11.714285714285714" style="47" hidden="1" customWidth="1"/>
    <col min="6" max="6" width="15.714285714285714" style="47" customWidth="1"/>
    <col min="7" max="7" width="15.571428571428571" style="47" hidden="1" customWidth="1"/>
    <col min="8" max="8" width="12.857142857142858" style="47" hidden="1" customWidth="1"/>
    <col min="9" max="9" width="14.428571428571429" style="47" hidden="1" customWidth="1"/>
    <col min="10" max="10" width="11.857142857142858" style="47" hidden="1" customWidth="1"/>
    <col min="11" max="11" width="10" style="47" hidden="1" customWidth="1"/>
    <col min="12" max="12" width="9.714285714285714" style="47" hidden="1" customWidth="1"/>
    <col min="13" max="13" width="11.142857142857142" style="47" customWidth="1"/>
    <col min="14" max="14" width="13.571428571428571" style="47" customWidth="1"/>
    <col min="15" max="15" width="12.714285714285714" style="47" customWidth="1"/>
    <col min="16" max="16" width="14" style="47" customWidth="1"/>
    <col min="17" max="17" width="12.142857142857142" style="47" customWidth="1"/>
    <col min="18" max="18" width="11.285714285714286" style="47" bestFit="1" customWidth="1"/>
    <col min="19" max="19" width="10.142857142857142" style="47" bestFit="1" customWidth="1"/>
    <col min="20" max="16384" width="9.142857142857142" style="47"/>
  </cols>
  <sheetData>
    <row r="1" spans="7:17" ht="15" customHeight="1">
      <c r="G1" s="68"/>
      <c r="H1" s="68"/>
      <c r="I1" s="68"/>
      <c r="J1" s="68"/>
      <c r="K1" s="68"/>
      <c r="L1" s="68"/>
      <c r="M1" s="68"/>
      <c r="N1" s="68"/>
      <c r="O1" s="68"/>
      <c r="P1" s="68"/>
      <c r="Q1" s="67" t="s">
        <v>175</v>
      </c>
    </row>
    <row r="2" spans="7:17" ht="15" customHeight="1">
      <c r="G2" s="68"/>
      <c r="H2" s="68"/>
      <c r="I2" s="68"/>
      <c r="J2" s="68"/>
      <c r="K2" s="68"/>
      <c r="L2" s="68"/>
      <c r="M2" s="68"/>
      <c r="N2" s="68"/>
      <c r="O2" s="68"/>
      <c r="P2" s="68"/>
      <c r="Q2" s="68" t="s">
        <v>838</v>
      </c>
    </row>
    <row r="3" spans="7:17" ht="15" customHeight="1">
      <c r="G3" s="68"/>
      <c r="H3" s="68"/>
      <c r="I3" s="68"/>
      <c r="J3" s="68"/>
      <c r="K3" s="68"/>
      <c r="L3" s="68"/>
      <c r="M3" s="68"/>
      <c r="N3" s="68"/>
      <c r="O3" s="68"/>
      <c r="P3" s="68"/>
      <c r="Q3" s="68" t="s">
        <v>839</v>
      </c>
    </row>
    <row r="4" spans="7:17" ht="15" customHeight="1">
      <c r="G4" s="68"/>
      <c r="H4" s="68"/>
      <c r="I4" s="68"/>
      <c r="J4" s="68"/>
      <c r="K4" s="68"/>
      <c r="L4" s="68"/>
      <c r="M4" s="68"/>
      <c r="N4" s="70"/>
      <c r="O4" s="68"/>
      <c r="P4" s="68"/>
      <c r="Q4" s="68" t="s">
        <v>768</v>
      </c>
    </row>
    <row r="5" spans="1:17" ht="15" customHeight="1">
      <c r="A5" s="76"/>
      <c r="D5" s="76"/>
      <c r="E5" s="76"/>
      <c r="G5" s="68"/>
      <c r="H5" s="68"/>
      <c r="I5" s="68"/>
      <c r="J5" s="68"/>
      <c r="K5" s="68"/>
      <c r="L5" s="68"/>
      <c r="M5" s="68"/>
      <c r="N5" s="70"/>
      <c r="O5" s="68"/>
      <c r="P5" s="68"/>
      <c r="Q5" s="68"/>
    </row>
    <row r="6" spans="7:17" ht="15" customHeight="1"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pans="1:17" ht="15" customHeight="1">
      <c r="A7" s="205" t="s">
        <v>769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</row>
    <row r="8" ht="15" customHeight="1"/>
    <row r="9" spans="1:17" s="71" customFormat="1" ht="15" customHeight="1">
      <c r="A9" s="198" t="s">
        <v>0</v>
      </c>
      <c r="B9" s="207" t="s">
        <v>770</v>
      </c>
      <c r="C9" s="206" t="s">
        <v>92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</row>
    <row r="10" spans="1:17" s="71" customFormat="1" ht="15" customHeight="1">
      <c r="A10" s="198"/>
      <c r="B10" s="207"/>
      <c r="C10" s="74">
        <v>1000</v>
      </c>
      <c r="D10" s="74">
        <v>1100</v>
      </c>
      <c r="E10" s="74">
        <v>1200</v>
      </c>
      <c r="F10" s="74">
        <v>2000</v>
      </c>
      <c r="G10" s="104">
        <v>2100</v>
      </c>
      <c r="H10" s="104">
        <v>2200</v>
      </c>
      <c r="I10" s="104">
        <v>2300</v>
      </c>
      <c r="J10" s="104">
        <v>2400</v>
      </c>
      <c r="K10" s="104">
        <v>2500</v>
      </c>
      <c r="L10" s="104">
        <v>2600</v>
      </c>
      <c r="M10" s="74">
        <v>3000</v>
      </c>
      <c r="N10" s="74">
        <v>4000</v>
      </c>
      <c r="O10" s="74">
        <v>5000</v>
      </c>
      <c r="P10" s="107">
        <v>6000</v>
      </c>
      <c r="Q10" s="107">
        <v>7000</v>
      </c>
    </row>
    <row r="11" spans="1:17" s="71" customFormat="1" ht="105" customHeight="1">
      <c r="A11" s="198"/>
      <c r="B11" s="207"/>
      <c r="C11" s="107" t="s">
        <v>87</v>
      </c>
      <c r="D11" s="107" t="s">
        <v>742</v>
      </c>
      <c r="E11" s="107" t="s">
        <v>743</v>
      </c>
      <c r="F11" s="107" t="s">
        <v>88</v>
      </c>
      <c r="G11" s="105" t="s">
        <v>244</v>
      </c>
      <c r="H11" s="105" t="s">
        <v>245</v>
      </c>
      <c r="I11" s="105" t="s">
        <v>246</v>
      </c>
      <c r="J11" s="105" t="s">
        <v>740</v>
      </c>
      <c r="K11" s="105" t="s">
        <v>247</v>
      </c>
      <c r="L11" s="105"/>
      <c r="M11" s="107" t="s">
        <v>89</v>
      </c>
      <c r="N11" s="107" t="s">
        <v>90</v>
      </c>
      <c r="O11" s="107" t="s">
        <v>91</v>
      </c>
      <c r="P11" s="107" t="s">
        <v>85</v>
      </c>
      <c r="Q11" s="107" t="s">
        <v>86</v>
      </c>
    </row>
    <row r="12" spans="1:17" ht="15" customHeight="1">
      <c r="A12" s="159" t="s">
        <v>1</v>
      </c>
      <c r="B12" s="160">
        <f t="shared" si="0" ref="B12:B17">=SUM(C12+F12,M12:Q12)</f>
        <v>1522773</v>
      </c>
      <c r="C12" s="161">
        <f t="shared" si="1" ref="C12:C17">=D12+E12</f>
        <v>1287651</v>
      </c>
      <c r="D12" s="161">
        <v>1040812</v>
      </c>
      <c r="E12" s="161">
        <v>246839</v>
      </c>
      <c r="F12" s="161">
        <f t="shared" si="2" ref="F12:F17">=SUM(G12:K12)</f>
        <v>234122</v>
      </c>
      <c r="G12" s="162">
        <v>2480</v>
      </c>
      <c r="H12" s="162">
        <f>177541+23631</f>
        <v>201172</v>
      </c>
      <c r="I12" s="162">
        <v>28470</v>
      </c>
      <c r="J12" s="162"/>
      <c r="K12" s="162">
        <v>2000</v>
      </c>
      <c r="L12" s="162"/>
      <c r="M12" s="161"/>
      <c r="N12" s="161"/>
      <c r="O12" s="161">
        <v>1000</v>
      </c>
      <c r="P12" s="161"/>
      <c r="Q12" s="161"/>
    </row>
    <row r="13" spans="1:17" ht="15" customHeight="1">
      <c r="A13" s="159" t="s">
        <v>2</v>
      </c>
      <c r="B13" s="160">
        <f t="shared" si="0"/>
        <v>127701</v>
      </c>
      <c r="C13" s="161">
        <f t="shared" si="1"/>
        <v>127701</v>
      </c>
      <c r="D13" s="161">
        <v>103555</v>
      </c>
      <c r="E13" s="161">
        <v>24146</v>
      </c>
      <c r="F13" s="161">
        <f t="shared" si="2"/>
        <v>0</v>
      </c>
      <c r="G13" s="162"/>
      <c r="H13" s="162"/>
      <c r="I13" s="162"/>
      <c r="J13" s="162"/>
      <c r="K13" s="162"/>
      <c r="L13" s="162"/>
      <c r="M13" s="161"/>
      <c r="N13" s="161"/>
      <c r="O13" s="161"/>
      <c r="P13" s="161"/>
      <c r="Q13" s="161"/>
    </row>
    <row r="14" spans="1:17" ht="30" customHeight="1">
      <c r="A14" s="159" t="s">
        <v>181</v>
      </c>
      <c r="B14" s="160">
        <f t="shared" si="0"/>
        <v>255015</v>
      </c>
      <c r="C14" s="161">
        <f t="shared" si="1"/>
        <v>0</v>
      </c>
      <c r="D14" s="161"/>
      <c r="E14" s="161"/>
      <c r="F14" s="161">
        <f t="shared" si="2"/>
        <v>0</v>
      </c>
      <c r="G14" s="162"/>
      <c r="H14" s="162"/>
      <c r="I14" s="162"/>
      <c r="J14" s="162"/>
      <c r="K14" s="162"/>
      <c r="L14" s="162"/>
      <c r="M14" s="161"/>
      <c r="N14" s="161"/>
      <c r="O14" s="161"/>
      <c r="P14" s="161">
        <v>255015</v>
      </c>
      <c r="Q14" s="161"/>
    </row>
    <row r="15" spans="1:17" ht="15" customHeight="1">
      <c r="A15" s="159" t="s">
        <v>213</v>
      </c>
      <c r="B15" s="160">
        <f t="shared" si="0"/>
        <v>30000</v>
      </c>
      <c r="C15" s="161">
        <f t="shared" si="1"/>
        <v>30000</v>
      </c>
      <c r="D15" s="161">
        <v>24274</v>
      </c>
      <c r="E15" s="161">
        <v>5726</v>
      </c>
      <c r="F15" s="161">
        <f t="shared" si="2"/>
        <v>0</v>
      </c>
      <c r="G15" s="162"/>
      <c r="H15" s="162"/>
      <c r="I15" s="162"/>
      <c r="J15" s="162"/>
      <c r="K15" s="162"/>
      <c r="L15" s="162"/>
      <c r="M15" s="161"/>
      <c r="N15" s="161"/>
      <c r="O15" s="161"/>
      <c r="P15" s="161"/>
      <c r="Q15" s="161"/>
    </row>
    <row r="16" spans="1:17" ht="15" customHeight="1">
      <c r="A16" s="159" t="s">
        <v>822</v>
      </c>
      <c r="B16" s="160">
        <f t="shared" si="0"/>
        <v>4729</v>
      </c>
      <c r="C16" s="161">
        <f t="shared" si="1"/>
        <v>4636</v>
      </c>
      <c r="D16" s="161">
        <v>3741</v>
      </c>
      <c r="E16" s="161">
        <v>895</v>
      </c>
      <c r="F16" s="161">
        <f t="shared" si="2"/>
        <v>93</v>
      </c>
      <c r="G16" s="162"/>
      <c r="H16" s="162"/>
      <c r="I16" s="162">
        <v>93</v>
      </c>
      <c r="J16" s="162"/>
      <c r="K16" s="162"/>
      <c r="L16" s="162"/>
      <c r="M16" s="161"/>
      <c r="N16" s="161"/>
      <c r="O16" s="161"/>
      <c r="P16" s="161"/>
      <c r="Q16" s="161"/>
    </row>
    <row r="17" spans="1:17" ht="15" customHeight="1">
      <c r="A17" s="163" t="s">
        <v>206</v>
      </c>
      <c r="B17" s="160">
        <f t="shared" si="0"/>
        <v>46653</v>
      </c>
      <c r="C17" s="161">
        <f t="shared" si="1"/>
        <v>40785</v>
      </c>
      <c r="D17" s="161">
        <v>33000</v>
      </c>
      <c r="E17" s="161">
        <v>7785</v>
      </c>
      <c r="F17" s="161">
        <f t="shared" si="2"/>
        <v>5868</v>
      </c>
      <c r="G17" s="162">
        <v>20</v>
      </c>
      <c r="H17" s="162">
        <v>2345</v>
      </c>
      <c r="I17" s="162">
        <v>3503</v>
      </c>
      <c r="J17" s="162"/>
      <c r="K17" s="162"/>
      <c r="L17" s="162"/>
      <c r="M17" s="161"/>
      <c r="N17" s="161"/>
      <c r="O17" s="161"/>
      <c r="P17" s="161"/>
      <c r="Q17" s="161"/>
    </row>
    <row r="18" spans="1:17" ht="15" customHeight="1">
      <c r="A18" s="164" t="s">
        <v>3</v>
      </c>
      <c r="B18" s="160">
        <f t="shared" si="3" ref="B18:B38">=SUM(C18+F18,M18:Q18)</f>
        <v>38050</v>
      </c>
      <c r="C18" s="161">
        <f t="shared" si="4" ref="C18:C23">=D18+E18</f>
        <v>34292</v>
      </c>
      <c r="D18" s="161">
        <v>27606</v>
      </c>
      <c r="E18" s="161">
        <v>6686</v>
      </c>
      <c r="F18" s="161">
        <f t="shared" si="5" ref="F18:F45">=SUM(G18:K18)</f>
        <v>3758</v>
      </c>
      <c r="G18" s="162"/>
      <c r="H18" s="162">
        <v>1651</v>
      </c>
      <c r="I18" s="162">
        <v>2006</v>
      </c>
      <c r="J18" s="162"/>
      <c r="K18" s="162">
        <v>101</v>
      </c>
      <c r="L18" s="162"/>
      <c r="M18" s="161"/>
      <c r="N18" s="161"/>
      <c r="O18" s="161"/>
      <c r="P18" s="161"/>
      <c r="Q18" s="161"/>
    </row>
    <row r="19" spans="1:17" ht="15" customHeight="1">
      <c r="A19" s="164" t="s">
        <v>95</v>
      </c>
      <c r="B19" s="160">
        <f t="shared" si="3"/>
        <v>60118</v>
      </c>
      <c r="C19" s="161">
        <f t="shared" si="4"/>
        <v>43440</v>
      </c>
      <c r="D19" s="161">
        <v>35125</v>
      </c>
      <c r="E19" s="161">
        <v>8315</v>
      </c>
      <c r="F19" s="161">
        <f t="shared" si="5"/>
        <v>16678</v>
      </c>
      <c r="G19" s="162"/>
      <c r="H19" s="162">
        <v>7695</v>
      </c>
      <c r="I19" s="162">
        <v>8983</v>
      </c>
      <c r="J19" s="162"/>
      <c r="K19" s="162"/>
      <c r="L19" s="162"/>
      <c r="M19" s="161"/>
      <c r="N19" s="161"/>
      <c r="O19" s="161"/>
      <c r="P19" s="161"/>
      <c r="Q19" s="161"/>
    </row>
    <row r="20" spans="1:17" ht="15" customHeight="1">
      <c r="A20" s="164" t="s">
        <v>4</v>
      </c>
      <c r="B20" s="160">
        <f t="shared" si="3"/>
        <v>26739</v>
      </c>
      <c r="C20" s="161">
        <f t="shared" si="4"/>
        <v>22563</v>
      </c>
      <c r="D20" s="161">
        <v>18120</v>
      </c>
      <c r="E20" s="161">
        <v>4443</v>
      </c>
      <c r="F20" s="161">
        <f t="shared" si="5"/>
        <v>4176</v>
      </c>
      <c r="G20" s="162"/>
      <c r="H20" s="162">
        <v>2836</v>
      </c>
      <c r="I20" s="162">
        <v>1340</v>
      </c>
      <c r="J20" s="162"/>
      <c r="K20" s="162"/>
      <c r="L20" s="162"/>
      <c r="M20" s="161"/>
      <c r="N20" s="161"/>
      <c r="O20" s="161"/>
      <c r="P20" s="161"/>
      <c r="Q20" s="161"/>
    </row>
    <row r="21" spans="1:17" ht="15" customHeight="1">
      <c r="A21" s="164" t="s">
        <v>5</v>
      </c>
      <c r="B21" s="165">
        <f t="shared" si="3"/>
        <v>40853</v>
      </c>
      <c r="C21" s="161">
        <f t="shared" si="4"/>
        <v>33894</v>
      </c>
      <c r="D21" s="161">
        <v>27201</v>
      </c>
      <c r="E21" s="161">
        <v>6693</v>
      </c>
      <c r="F21" s="161">
        <f t="shared" si="5"/>
        <v>6959</v>
      </c>
      <c r="G21" s="162"/>
      <c r="H21" s="162">
        <v>3483</v>
      </c>
      <c r="I21" s="162">
        <v>3160</v>
      </c>
      <c r="J21" s="162"/>
      <c r="K21" s="162">
        <v>316</v>
      </c>
      <c r="L21" s="162"/>
      <c r="M21" s="161"/>
      <c r="N21" s="161"/>
      <c r="O21" s="161"/>
      <c r="P21" s="161"/>
      <c r="Q21" s="161"/>
    </row>
    <row r="22" spans="1:17" ht="15" customHeight="1">
      <c r="A22" s="164" t="s">
        <v>6</v>
      </c>
      <c r="B22" s="160">
        <f t="shared" si="3"/>
        <v>24622</v>
      </c>
      <c r="C22" s="161">
        <f t="shared" si="4"/>
        <v>18878</v>
      </c>
      <c r="D22" s="161">
        <v>15228</v>
      </c>
      <c r="E22" s="161">
        <v>3650</v>
      </c>
      <c r="F22" s="161">
        <f t="shared" si="5"/>
        <v>5744</v>
      </c>
      <c r="G22" s="162"/>
      <c r="H22" s="162">
        <v>2274</v>
      </c>
      <c r="I22" s="162">
        <v>3470</v>
      </c>
      <c r="J22" s="162"/>
      <c r="K22" s="162"/>
      <c r="L22" s="162"/>
      <c r="M22" s="161"/>
      <c r="N22" s="161"/>
      <c r="O22" s="161"/>
      <c r="P22" s="161"/>
      <c r="Q22" s="161"/>
    </row>
    <row r="23" spans="1:17" ht="15" customHeight="1">
      <c r="A23" s="164" t="s">
        <v>7</v>
      </c>
      <c r="B23" s="160">
        <f t="shared" si="3"/>
        <v>32348</v>
      </c>
      <c r="C23" s="161">
        <f t="shared" si="4"/>
        <v>27797</v>
      </c>
      <c r="D23" s="161">
        <v>22258</v>
      </c>
      <c r="E23" s="161">
        <v>5539</v>
      </c>
      <c r="F23" s="161">
        <f t="shared" si="5"/>
        <v>4551</v>
      </c>
      <c r="G23" s="162">
        <v>40</v>
      </c>
      <c r="H23" s="162">
        <v>2801</v>
      </c>
      <c r="I23" s="162">
        <v>1500</v>
      </c>
      <c r="J23" s="162"/>
      <c r="K23" s="162">
        <v>210</v>
      </c>
      <c r="L23" s="162"/>
      <c r="M23" s="161"/>
      <c r="N23" s="161"/>
      <c r="O23" s="161"/>
      <c r="P23" s="161"/>
      <c r="Q23" s="161"/>
    </row>
    <row r="24" spans="1:17" ht="15" customHeight="1">
      <c r="A24" s="164" t="s">
        <v>8</v>
      </c>
      <c r="B24" s="160">
        <f t="shared" si="3"/>
        <v>40674</v>
      </c>
      <c r="C24" s="161">
        <f>D24+E24</f>
        <v>31818</v>
      </c>
      <c r="D24" s="161">
        <v>25517</v>
      </c>
      <c r="E24" s="161">
        <v>6301</v>
      </c>
      <c r="F24" s="161">
        <f t="shared" si="5"/>
        <v>8856</v>
      </c>
      <c r="G24" s="162"/>
      <c r="H24" s="162">
        <v>4857</v>
      </c>
      <c r="I24" s="162">
        <v>3855</v>
      </c>
      <c r="J24" s="162"/>
      <c r="K24" s="162">
        <v>144</v>
      </c>
      <c r="L24" s="162"/>
      <c r="M24" s="161"/>
      <c r="N24" s="161"/>
      <c r="O24" s="161"/>
      <c r="P24" s="161"/>
      <c r="Q24" s="161"/>
    </row>
    <row r="25" spans="1:17" ht="15" customHeight="1">
      <c r="A25" s="164" t="s">
        <v>96</v>
      </c>
      <c r="B25" s="160">
        <f t="shared" si="3"/>
        <v>44556</v>
      </c>
      <c r="C25" s="161">
        <f>D25+E25</f>
        <v>27612</v>
      </c>
      <c r="D25" s="161">
        <v>22311</v>
      </c>
      <c r="E25" s="161">
        <v>5301</v>
      </c>
      <c r="F25" s="161">
        <f t="shared" si="5"/>
        <v>16944</v>
      </c>
      <c r="G25" s="162"/>
      <c r="H25" s="162">
        <f>1300+12000</f>
        <v>13300</v>
      </c>
      <c r="I25" s="162">
        <f>3644</f>
        <v>3644</v>
      </c>
      <c r="J25" s="162"/>
      <c r="K25" s="162"/>
      <c r="L25" s="162"/>
      <c r="M25" s="161"/>
      <c r="N25" s="161"/>
      <c r="O25" s="161"/>
      <c r="P25" s="161"/>
      <c r="Q25" s="161"/>
    </row>
    <row r="26" spans="1:17" ht="15" customHeight="1">
      <c r="A26" s="164" t="s">
        <v>137</v>
      </c>
      <c r="B26" s="160">
        <f t="shared" si="3"/>
        <v>30856</v>
      </c>
      <c r="C26" s="161">
        <f>D26+E26</f>
        <v>25563</v>
      </c>
      <c r="D26" s="161">
        <v>20628</v>
      </c>
      <c r="E26" s="161">
        <v>4935</v>
      </c>
      <c r="F26" s="161">
        <f t="shared" si="5"/>
        <v>5293</v>
      </c>
      <c r="G26" s="162">
        <v>32</v>
      </c>
      <c r="H26" s="162">
        <v>4111</v>
      </c>
      <c r="I26" s="162">
        <v>1150</v>
      </c>
      <c r="J26" s="162"/>
      <c r="K26" s="162"/>
      <c r="L26" s="162"/>
      <c r="M26" s="161"/>
      <c r="N26" s="161"/>
      <c r="O26" s="161"/>
      <c r="P26" s="161"/>
      <c r="Q26" s="161"/>
    </row>
    <row r="27" spans="1:17" ht="15" customHeight="1">
      <c r="A27" s="164" t="s">
        <v>9</v>
      </c>
      <c r="B27" s="160">
        <f t="shared" si="3"/>
        <v>20735</v>
      </c>
      <c r="C27" s="161">
        <f>D27+E27</f>
        <v>18326</v>
      </c>
      <c r="D27" s="161">
        <v>14640</v>
      </c>
      <c r="E27" s="161">
        <v>3686</v>
      </c>
      <c r="F27" s="161">
        <f t="shared" si="5"/>
        <v>2409</v>
      </c>
      <c r="G27" s="162"/>
      <c r="H27" s="162">
        <v>964</v>
      </c>
      <c r="I27" s="162">
        <v>1445</v>
      </c>
      <c r="J27" s="162"/>
      <c r="K27" s="162"/>
      <c r="L27" s="162"/>
      <c r="M27" s="161"/>
      <c r="N27" s="161"/>
      <c r="O27" s="161"/>
      <c r="P27" s="161"/>
      <c r="Q27" s="161"/>
    </row>
    <row r="28" spans="1:17" ht="15" customHeight="1">
      <c r="A28" s="164" t="s">
        <v>97</v>
      </c>
      <c r="B28" s="160">
        <f t="shared" si="3"/>
        <v>34119</v>
      </c>
      <c r="C28" s="161">
        <f>D28+E28</f>
        <v>26542</v>
      </c>
      <c r="D28" s="161">
        <v>21450</v>
      </c>
      <c r="E28" s="161">
        <v>5092</v>
      </c>
      <c r="F28" s="161">
        <f t="shared" si="5"/>
        <v>7577</v>
      </c>
      <c r="G28" s="162"/>
      <c r="H28" s="162">
        <v>4641</v>
      </c>
      <c r="I28" s="162">
        <v>2710</v>
      </c>
      <c r="J28" s="162"/>
      <c r="K28" s="162">
        <v>226</v>
      </c>
      <c r="L28" s="162"/>
      <c r="M28" s="161"/>
      <c r="N28" s="161"/>
      <c r="O28" s="161"/>
      <c r="P28" s="161"/>
      <c r="Q28" s="161"/>
    </row>
    <row r="29" spans="1:17" ht="15" customHeight="1">
      <c r="A29" s="164" t="s">
        <v>138</v>
      </c>
      <c r="B29" s="160">
        <f t="shared" si="3"/>
        <v>38492</v>
      </c>
      <c r="C29" s="161">
        <f>D29++E29</f>
        <v>26241</v>
      </c>
      <c r="D29" s="161">
        <v>21120</v>
      </c>
      <c r="E29" s="161">
        <v>5121</v>
      </c>
      <c r="F29" s="161">
        <f t="shared" si="5"/>
        <v>12251</v>
      </c>
      <c r="G29" s="162">
        <v>40</v>
      </c>
      <c r="H29" s="162">
        <v>8558</v>
      </c>
      <c r="I29" s="162">
        <v>3460</v>
      </c>
      <c r="J29" s="162"/>
      <c r="K29" s="162">
        <v>193</v>
      </c>
      <c r="L29" s="162"/>
      <c r="M29" s="161"/>
      <c r="N29" s="161"/>
      <c r="O29" s="161"/>
      <c r="P29" s="161"/>
      <c r="Q29" s="161"/>
    </row>
    <row r="30" spans="1:17" ht="15" customHeight="1">
      <c r="A30" s="164" t="s">
        <v>98</v>
      </c>
      <c r="B30" s="160">
        <f t="shared" si="3"/>
        <v>20500</v>
      </c>
      <c r="C30" s="161">
        <f t="shared" si="6" ref="C30:C38">=D30+E30</f>
        <v>13530</v>
      </c>
      <c r="D30" s="161">
        <v>10912</v>
      </c>
      <c r="E30" s="161">
        <v>2618</v>
      </c>
      <c r="F30" s="161">
        <f t="shared" si="5"/>
        <v>6970</v>
      </c>
      <c r="G30" s="162"/>
      <c r="H30" s="162">
        <v>5600</v>
      </c>
      <c r="I30" s="162">
        <v>1370</v>
      </c>
      <c r="J30" s="162"/>
      <c r="K30" s="162"/>
      <c r="L30" s="162"/>
      <c r="M30" s="161"/>
      <c r="N30" s="161"/>
      <c r="O30" s="161"/>
      <c r="P30" s="161"/>
      <c r="Q30" s="161"/>
    </row>
    <row r="31" spans="1:17" ht="15" customHeight="1">
      <c r="A31" s="164" t="s">
        <v>99</v>
      </c>
      <c r="B31" s="160">
        <f t="shared" si="3"/>
        <v>44173</v>
      </c>
      <c r="C31" s="161">
        <f t="shared" si="6"/>
        <v>36281</v>
      </c>
      <c r="D31" s="161">
        <v>29320</v>
      </c>
      <c r="E31" s="161">
        <v>6961</v>
      </c>
      <c r="F31" s="161">
        <f t="shared" si="5"/>
        <v>7892</v>
      </c>
      <c r="G31" s="162"/>
      <c r="H31" s="162">
        <v>2205</v>
      </c>
      <c r="I31" s="162">
        <v>5413</v>
      </c>
      <c r="J31" s="162"/>
      <c r="K31" s="162">
        <v>274</v>
      </c>
      <c r="L31" s="162"/>
      <c r="M31" s="161"/>
      <c r="N31" s="161"/>
      <c r="O31" s="161"/>
      <c r="P31" s="161"/>
      <c r="Q31" s="161"/>
    </row>
    <row r="32" spans="1:17" ht="15" customHeight="1">
      <c r="A32" s="164" t="s">
        <v>10</v>
      </c>
      <c r="B32" s="160">
        <f t="shared" si="3"/>
        <v>36393</v>
      </c>
      <c r="C32" s="161">
        <f t="shared" si="6"/>
        <v>31017</v>
      </c>
      <c r="D32" s="161">
        <v>25015</v>
      </c>
      <c r="E32" s="161">
        <v>6002</v>
      </c>
      <c r="F32" s="161">
        <f t="shared" si="5"/>
        <v>5376</v>
      </c>
      <c r="G32" s="162">
        <v>80</v>
      </c>
      <c r="H32" s="162">
        <v>3240</v>
      </c>
      <c r="I32" s="162">
        <v>1846</v>
      </c>
      <c r="J32" s="162"/>
      <c r="K32" s="162">
        <v>210</v>
      </c>
      <c r="L32" s="162"/>
      <c r="M32" s="161"/>
      <c r="N32" s="161"/>
      <c r="O32" s="161"/>
      <c r="P32" s="161"/>
      <c r="Q32" s="161"/>
    </row>
    <row r="33" spans="1:17" ht="15" customHeight="1">
      <c r="A33" s="164" t="s">
        <v>11</v>
      </c>
      <c r="B33" s="160">
        <f t="shared" si="3"/>
        <v>30369</v>
      </c>
      <c r="C33" s="161">
        <f t="shared" si="6"/>
        <v>26414</v>
      </c>
      <c r="D33" s="161">
        <v>21317</v>
      </c>
      <c r="E33" s="161">
        <v>5097</v>
      </c>
      <c r="F33" s="161">
        <f t="shared" si="5"/>
        <v>3955</v>
      </c>
      <c r="G33" s="162"/>
      <c r="H33" s="162">
        <v>2287</v>
      </c>
      <c r="I33" s="162">
        <v>1408</v>
      </c>
      <c r="J33" s="162"/>
      <c r="K33" s="162">
        <v>260</v>
      </c>
      <c r="L33" s="162"/>
      <c r="M33" s="161"/>
      <c r="N33" s="161"/>
      <c r="O33" s="161"/>
      <c r="P33" s="161"/>
      <c r="Q33" s="161"/>
    </row>
    <row r="34" spans="1:17" ht="15" customHeight="1">
      <c r="A34" s="164" t="s">
        <v>100</v>
      </c>
      <c r="B34" s="160">
        <f t="shared" si="3"/>
        <v>31242</v>
      </c>
      <c r="C34" s="161">
        <f t="shared" si="6"/>
        <v>24951</v>
      </c>
      <c r="D34" s="161">
        <v>20077</v>
      </c>
      <c r="E34" s="161">
        <v>4874</v>
      </c>
      <c r="F34" s="161">
        <f t="shared" si="5"/>
        <v>6291</v>
      </c>
      <c r="G34" s="162"/>
      <c r="H34" s="162">
        <v>4386</v>
      </c>
      <c r="I34" s="162">
        <v>1485</v>
      </c>
      <c r="J34" s="162"/>
      <c r="K34" s="162">
        <v>420</v>
      </c>
      <c r="L34" s="162"/>
      <c r="M34" s="161"/>
      <c r="N34" s="161"/>
      <c r="O34" s="161"/>
      <c r="P34" s="161"/>
      <c r="Q34" s="161"/>
    </row>
    <row r="35" spans="1:17" ht="15" customHeight="1">
      <c r="A35" s="164" t="s">
        <v>12</v>
      </c>
      <c r="B35" s="160">
        <f t="shared" si="3"/>
        <v>39073</v>
      </c>
      <c r="C35" s="161">
        <f t="shared" si="6"/>
        <v>31541</v>
      </c>
      <c r="D35" s="161">
        <v>25414</v>
      </c>
      <c r="E35" s="161">
        <v>6127</v>
      </c>
      <c r="F35" s="161">
        <f t="shared" si="5"/>
        <v>7532</v>
      </c>
      <c r="G35" s="162"/>
      <c r="H35" s="162">
        <v>2962</v>
      </c>
      <c r="I35" s="162">
        <v>4370</v>
      </c>
      <c r="J35" s="162"/>
      <c r="K35" s="162">
        <v>200</v>
      </c>
      <c r="L35" s="162"/>
      <c r="M35" s="161"/>
      <c r="N35" s="161"/>
      <c r="O35" s="161"/>
      <c r="P35" s="161"/>
      <c r="Q35" s="161"/>
    </row>
    <row r="36" spans="1:17" ht="15" customHeight="1">
      <c r="A36" s="164" t="s">
        <v>93</v>
      </c>
      <c r="B36" s="160">
        <f t="shared" si="3"/>
        <v>51579</v>
      </c>
      <c r="C36" s="161">
        <f t="shared" si="6"/>
        <v>30858</v>
      </c>
      <c r="D36" s="161">
        <v>24810</v>
      </c>
      <c r="E36" s="161">
        <v>6048</v>
      </c>
      <c r="F36" s="161">
        <f t="shared" si="5"/>
        <v>20721</v>
      </c>
      <c r="G36" s="162"/>
      <c r="H36" s="162">
        <v>17236</v>
      </c>
      <c r="I36" s="162">
        <v>3320</v>
      </c>
      <c r="J36" s="162"/>
      <c r="K36" s="162">
        <v>165</v>
      </c>
      <c r="L36" s="162"/>
      <c r="M36" s="161"/>
      <c r="N36" s="161"/>
      <c r="O36" s="161"/>
      <c r="P36" s="161"/>
      <c r="Q36" s="161"/>
    </row>
    <row r="37" spans="1:17" ht="15" customHeight="1">
      <c r="A37" s="164" t="s">
        <v>101</v>
      </c>
      <c r="B37" s="160">
        <f t="shared" si="3"/>
        <v>34189</v>
      </c>
      <c r="C37" s="161">
        <f t="shared" si="6"/>
        <v>26734</v>
      </c>
      <c r="D37" s="161">
        <v>21600</v>
      </c>
      <c r="E37" s="161">
        <v>5134</v>
      </c>
      <c r="F37" s="161">
        <f t="shared" si="5"/>
        <v>7455</v>
      </c>
      <c r="G37" s="162"/>
      <c r="H37" s="162">
        <v>2123</v>
      </c>
      <c r="I37" s="162">
        <v>5122</v>
      </c>
      <c r="J37" s="162"/>
      <c r="K37" s="162">
        <v>210</v>
      </c>
      <c r="L37" s="162"/>
      <c r="M37" s="161"/>
      <c r="N37" s="161"/>
      <c r="O37" s="161"/>
      <c r="P37" s="161"/>
      <c r="Q37" s="161"/>
    </row>
    <row r="38" spans="1:17" ht="30" customHeight="1">
      <c r="A38" s="164" t="s">
        <v>94</v>
      </c>
      <c r="B38" s="160">
        <f t="shared" si="3"/>
        <v>91826</v>
      </c>
      <c r="C38" s="161">
        <f t="shared" si="6"/>
        <v>79592</v>
      </c>
      <c r="D38" s="161">
        <v>64402</v>
      </c>
      <c r="E38" s="161">
        <v>15190</v>
      </c>
      <c r="F38" s="161">
        <f t="shared" si="5"/>
        <v>12234</v>
      </c>
      <c r="G38" s="162">
        <v>50</v>
      </c>
      <c r="H38" s="162">
        <v>9934</v>
      </c>
      <c r="I38" s="162">
        <v>2250</v>
      </c>
      <c r="J38" s="162"/>
      <c r="K38" s="162"/>
      <c r="L38" s="162"/>
      <c r="M38" s="161"/>
      <c r="N38" s="161"/>
      <c r="O38" s="161"/>
      <c r="P38" s="161"/>
      <c r="Q38" s="161"/>
    </row>
    <row r="39" spans="1:17" ht="15" customHeight="1">
      <c r="A39" s="164" t="s">
        <v>13</v>
      </c>
      <c r="B39" s="160">
        <f>SUM(C39:F39,M39:Q39)</f>
        <v>6000</v>
      </c>
      <c r="C39" s="161"/>
      <c r="D39" s="161"/>
      <c r="E39" s="161"/>
      <c r="F39" s="161">
        <f t="shared" si="5"/>
        <v>6000</v>
      </c>
      <c r="G39" s="162"/>
      <c r="H39" s="162">
        <v>6000</v>
      </c>
      <c r="I39" s="162"/>
      <c r="J39" s="162"/>
      <c r="K39" s="162"/>
      <c r="L39" s="162"/>
      <c r="M39" s="161"/>
      <c r="N39" s="161"/>
      <c r="O39" s="161"/>
      <c r="P39" s="161"/>
      <c r="Q39" s="161"/>
    </row>
    <row r="40" spans="1:17" ht="15" customHeight="1">
      <c r="A40" s="164" t="s">
        <v>14</v>
      </c>
      <c r="B40" s="160">
        <f t="shared" si="7" ref="B40:B45">=SUM(C40+F40,M40:Q40)</f>
        <v>41674</v>
      </c>
      <c r="C40" s="161"/>
      <c r="D40" s="161"/>
      <c r="E40" s="161"/>
      <c r="F40" s="161">
        <f t="shared" si="5"/>
        <v>41674</v>
      </c>
      <c r="G40" s="162"/>
      <c r="H40" s="162">
        <v>41674</v>
      </c>
      <c r="I40" s="162"/>
      <c r="J40" s="162"/>
      <c r="K40" s="162"/>
      <c r="L40" s="162"/>
      <c r="M40" s="161">
        <v>0</v>
      </c>
      <c r="N40" s="161"/>
      <c r="O40" s="161"/>
      <c r="P40" s="161"/>
      <c r="Q40" s="161"/>
    </row>
    <row r="41" spans="1:17" ht="30" customHeight="1">
      <c r="A41" s="164" t="s">
        <v>184</v>
      </c>
      <c r="B41" s="160">
        <f t="shared" si="7"/>
        <v>881967</v>
      </c>
      <c r="C41" s="161"/>
      <c r="D41" s="161"/>
      <c r="E41" s="161"/>
      <c r="F41" s="161">
        <f t="shared" si="5"/>
        <v>21746</v>
      </c>
      <c r="G41" s="162"/>
      <c r="H41" s="162">
        <v>21746</v>
      </c>
      <c r="I41" s="162"/>
      <c r="J41" s="162"/>
      <c r="K41" s="162"/>
      <c r="L41" s="162"/>
      <c r="M41" s="161"/>
      <c r="N41" s="166">
        <v>860221</v>
      </c>
      <c r="O41" s="161"/>
      <c r="P41" s="161"/>
      <c r="Q41" s="161"/>
    </row>
    <row r="42" spans="1:17" ht="15" customHeight="1">
      <c r="A42" s="164" t="s">
        <v>15</v>
      </c>
      <c r="B42" s="160">
        <f t="shared" si="7"/>
        <v>75861</v>
      </c>
      <c r="C42" s="161">
        <f>D42+E42</f>
        <v>56841</v>
      </c>
      <c r="D42" s="161">
        <v>43987</v>
      </c>
      <c r="E42" s="161">
        <v>12854</v>
      </c>
      <c r="F42" s="161">
        <f t="shared" si="5"/>
        <v>19020</v>
      </c>
      <c r="G42" s="162">
        <v>140</v>
      </c>
      <c r="H42" s="162">
        <v>15455</v>
      </c>
      <c r="I42" s="162">
        <v>3425</v>
      </c>
      <c r="J42" s="162"/>
      <c r="K42" s="162"/>
      <c r="L42" s="162"/>
      <c r="M42" s="161"/>
      <c r="N42" s="161"/>
      <c r="O42" s="161"/>
      <c r="P42" s="161"/>
      <c r="Q42" s="161"/>
    </row>
    <row r="43" spans="1:17" ht="15" customHeight="1">
      <c r="A43" s="167" t="s">
        <v>16</v>
      </c>
      <c r="B43" s="160">
        <f t="shared" si="7"/>
        <v>181947</v>
      </c>
      <c r="C43" s="161">
        <f>D43+E43</f>
        <v>161849</v>
      </c>
      <c r="D43" s="161">
        <v>131916</v>
      </c>
      <c r="E43" s="161">
        <v>29933</v>
      </c>
      <c r="F43" s="161">
        <f t="shared" si="5"/>
        <v>19318</v>
      </c>
      <c r="G43" s="162">
        <v>130</v>
      </c>
      <c r="H43" s="162">
        <v>8208</v>
      </c>
      <c r="I43" s="162">
        <v>10830</v>
      </c>
      <c r="J43" s="162"/>
      <c r="K43" s="162">
        <v>150</v>
      </c>
      <c r="L43" s="162"/>
      <c r="M43" s="161"/>
      <c r="N43" s="161"/>
      <c r="O43" s="161">
        <v>780</v>
      </c>
      <c r="P43" s="161"/>
      <c r="Q43" s="161"/>
    </row>
    <row r="44" spans="1:17" ht="15" customHeight="1">
      <c r="A44" s="159" t="s">
        <v>60</v>
      </c>
      <c r="B44" s="160">
        <f t="shared" si="7"/>
        <v>64886</v>
      </c>
      <c r="C44" s="161">
        <f>D44+E44</f>
        <v>60186</v>
      </c>
      <c r="D44" s="161">
        <v>48241</v>
      </c>
      <c r="E44" s="161">
        <v>11945</v>
      </c>
      <c r="F44" s="161">
        <f t="shared" si="5"/>
        <v>4700</v>
      </c>
      <c r="G44" s="162"/>
      <c r="H44" s="162">
        <v>3920</v>
      </c>
      <c r="I44" s="162">
        <v>780</v>
      </c>
      <c r="J44" s="162"/>
      <c r="K44" s="162"/>
      <c r="L44" s="162"/>
      <c r="M44" s="161"/>
      <c r="N44" s="161"/>
      <c r="O44" s="161"/>
      <c r="P44" s="161"/>
      <c r="Q44" s="161"/>
    </row>
    <row r="45" spans="1:17" ht="15" customHeight="1">
      <c r="A45" s="164" t="s">
        <v>17</v>
      </c>
      <c r="B45" s="160">
        <f t="shared" si="7"/>
        <v>59824</v>
      </c>
      <c r="C45" s="161">
        <f>D45+E45</f>
        <v>58119</v>
      </c>
      <c r="D45" s="161">
        <v>46338</v>
      </c>
      <c r="E45" s="161">
        <v>11781</v>
      </c>
      <c r="F45" s="161">
        <f t="shared" si="5"/>
        <v>1705</v>
      </c>
      <c r="G45" s="162">
        <v>150</v>
      </c>
      <c r="H45" s="162">
        <v>705</v>
      </c>
      <c r="I45" s="162">
        <v>850</v>
      </c>
      <c r="J45" s="162"/>
      <c r="K45" s="162"/>
      <c r="L45" s="162"/>
      <c r="M45" s="161"/>
      <c r="N45" s="161"/>
      <c r="O45" s="161"/>
      <c r="P45" s="161"/>
      <c r="Q45" s="161"/>
    </row>
    <row r="46" spans="1:17" ht="15" customHeight="1">
      <c r="A46" s="164" t="s">
        <v>18</v>
      </c>
      <c r="B46" s="160">
        <f>SUM(C46:F46,M46:Q46)</f>
        <v>90000</v>
      </c>
      <c r="C46" s="161"/>
      <c r="D46" s="161"/>
      <c r="E46" s="161"/>
      <c r="F46" s="161">
        <f>SUM(G46:K46)</f>
        <v>90000</v>
      </c>
      <c r="G46" s="162"/>
      <c r="H46" s="162"/>
      <c r="I46" s="162"/>
      <c r="J46" s="162"/>
      <c r="K46" s="162">
        <v>90000</v>
      </c>
      <c r="L46" s="162"/>
      <c r="M46" s="161"/>
      <c r="N46" s="161"/>
      <c r="O46" s="161"/>
      <c r="P46" s="161"/>
      <c r="Q46" s="161"/>
    </row>
    <row r="47" spans="1:17" ht="30" customHeight="1">
      <c r="A47" s="164" t="s">
        <v>63</v>
      </c>
      <c r="B47" s="160">
        <f>SUM(C47:F47,M47:Q47)</f>
        <v>3244</v>
      </c>
      <c r="C47" s="161"/>
      <c r="D47" s="161"/>
      <c r="E47" s="161"/>
      <c r="F47" s="161">
        <f t="shared" si="8" ref="F47:F76">=SUM(G47:K47)</f>
        <v>0</v>
      </c>
      <c r="G47" s="162"/>
      <c r="H47" s="162"/>
      <c r="I47" s="162"/>
      <c r="J47" s="162"/>
      <c r="K47" s="162"/>
      <c r="L47" s="162"/>
      <c r="M47" s="161"/>
      <c r="N47" s="161"/>
      <c r="O47" s="161"/>
      <c r="P47" s="161"/>
      <c r="Q47" s="161">
        <v>3244</v>
      </c>
    </row>
    <row r="48" spans="1:17" ht="30" customHeight="1">
      <c r="A48" s="164" t="s">
        <v>65</v>
      </c>
      <c r="B48" s="160">
        <f>SUM(C48+F48,M48:Q48)</f>
        <v>93707</v>
      </c>
      <c r="C48" s="161">
        <f>D48+E48</f>
        <v>61140</v>
      </c>
      <c r="D48" s="161">
        <v>49282</v>
      </c>
      <c r="E48" s="161">
        <v>11858</v>
      </c>
      <c r="F48" s="161">
        <f t="shared" si="8"/>
        <v>32567</v>
      </c>
      <c r="G48" s="162">
        <v>520</v>
      </c>
      <c r="H48" s="162">
        <v>28147</v>
      </c>
      <c r="I48" s="162">
        <v>3900</v>
      </c>
      <c r="J48" s="162"/>
      <c r="K48" s="162"/>
      <c r="L48" s="162"/>
      <c r="M48" s="161"/>
      <c r="N48" s="161"/>
      <c r="O48" s="161"/>
      <c r="P48" s="161"/>
      <c r="Q48" s="161"/>
    </row>
    <row r="49" spans="1:17" ht="15" customHeight="1">
      <c r="A49" s="164" t="s">
        <v>191</v>
      </c>
      <c r="B49" s="160">
        <f>SUM(C49:F49,M49:Q49)</f>
        <v>50000</v>
      </c>
      <c r="C49" s="161"/>
      <c r="D49" s="161"/>
      <c r="E49" s="161"/>
      <c r="F49" s="161">
        <f t="shared" si="8"/>
        <v>0</v>
      </c>
      <c r="G49" s="162"/>
      <c r="H49" s="162"/>
      <c r="I49" s="162"/>
      <c r="J49" s="162"/>
      <c r="K49" s="162"/>
      <c r="L49" s="162"/>
      <c r="M49" s="161">
        <v>50000</v>
      </c>
      <c r="N49" s="161"/>
      <c r="O49" s="161"/>
      <c r="P49" s="161"/>
      <c r="Q49" s="161"/>
    </row>
    <row r="50" spans="1:17" ht="30" customHeight="1">
      <c r="A50" s="163" t="s">
        <v>68</v>
      </c>
      <c r="B50" s="160">
        <f>SUM(C50:F50,M50:Q50)</f>
        <v>104110</v>
      </c>
      <c r="C50" s="161"/>
      <c r="D50" s="161"/>
      <c r="E50" s="161"/>
      <c r="F50" s="161">
        <f t="shared" si="8"/>
        <v>104110</v>
      </c>
      <c r="G50" s="162"/>
      <c r="H50" s="162">
        <v>103910</v>
      </c>
      <c r="I50" s="162">
        <v>200</v>
      </c>
      <c r="J50" s="162"/>
      <c r="K50" s="162"/>
      <c r="L50" s="162"/>
      <c r="M50" s="161"/>
      <c r="N50" s="161"/>
      <c r="O50" s="161"/>
      <c r="P50" s="161"/>
      <c r="Q50" s="161"/>
    </row>
    <row r="51" spans="1:17" ht="30" customHeight="1">
      <c r="A51" s="163" t="s">
        <v>223</v>
      </c>
      <c r="B51" s="160">
        <f t="shared" si="9" ref="B51:B70">=SUM(C51+F51,M51:Q51)</f>
        <v>65579</v>
      </c>
      <c r="C51" s="161"/>
      <c r="D51" s="161"/>
      <c r="E51" s="161"/>
      <c r="F51" s="161">
        <f t="shared" si="8"/>
        <v>65579</v>
      </c>
      <c r="G51" s="162"/>
      <c r="H51" s="162">
        <v>47974</v>
      </c>
      <c r="I51" s="162">
        <v>17605</v>
      </c>
      <c r="J51" s="162"/>
      <c r="K51" s="162"/>
      <c r="L51" s="162"/>
      <c r="M51" s="161"/>
      <c r="N51" s="161"/>
      <c r="O51" s="161"/>
      <c r="P51" s="161"/>
      <c r="Q51" s="161"/>
    </row>
    <row r="52" spans="1:17" ht="30" customHeight="1">
      <c r="A52" s="159" t="s">
        <v>69</v>
      </c>
      <c r="B52" s="160">
        <f t="shared" si="9"/>
        <v>28549</v>
      </c>
      <c r="C52" s="161"/>
      <c r="D52" s="161"/>
      <c r="E52" s="161"/>
      <c r="F52" s="161">
        <f t="shared" si="8"/>
        <v>28549</v>
      </c>
      <c r="G52" s="162"/>
      <c r="H52" s="162">
        <v>23749</v>
      </c>
      <c r="I52" s="162">
        <v>4800</v>
      </c>
      <c r="J52" s="162"/>
      <c r="K52" s="162"/>
      <c r="L52" s="162"/>
      <c r="M52" s="161"/>
      <c r="N52" s="161"/>
      <c r="O52" s="161"/>
      <c r="P52" s="161"/>
      <c r="Q52" s="161"/>
    </row>
    <row r="53" spans="1:17" ht="30" customHeight="1">
      <c r="A53" s="159" t="s">
        <v>70</v>
      </c>
      <c r="B53" s="160">
        <f t="shared" si="9"/>
        <v>24752</v>
      </c>
      <c r="C53" s="161"/>
      <c r="D53" s="161"/>
      <c r="E53" s="161"/>
      <c r="F53" s="161">
        <f t="shared" si="8"/>
        <v>24752</v>
      </c>
      <c r="G53" s="162"/>
      <c r="H53" s="162">
        <v>23702</v>
      </c>
      <c r="I53" s="162">
        <v>1050</v>
      </c>
      <c r="J53" s="162"/>
      <c r="K53" s="162"/>
      <c r="L53" s="162"/>
      <c r="M53" s="161"/>
      <c r="N53" s="161"/>
      <c r="O53" s="161"/>
      <c r="P53" s="161"/>
      <c r="Q53" s="161"/>
    </row>
    <row r="54" spans="1:17" ht="30" customHeight="1">
      <c r="A54" s="159" t="s">
        <v>71</v>
      </c>
      <c r="B54" s="160">
        <f t="shared" si="9"/>
        <v>69706</v>
      </c>
      <c r="C54" s="161"/>
      <c r="D54" s="161"/>
      <c r="E54" s="161"/>
      <c r="F54" s="161">
        <f t="shared" si="8"/>
        <v>63706</v>
      </c>
      <c r="G54" s="162"/>
      <c r="H54" s="162">
        <v>61506</v>
      </c>
      <c r="I54" s="162">
        <v>2200</v>
      </c>
      <c r="J54" s="162"/>
      <c r="K54" s="162"/>
      <c r="L54" s="162"/>
      <c r="M54" s="161"/>
      <c r="N54" s="161"/>
      <c r="O54" s="161">
        <v>6000</v>
      </c>
      <c r="P54" s="161"/>
      <c r="Q54" s="161"/>
    </row>
    <row r="55" spans="1:17" ht="30" customHeight="1">
      <c r="A55" s="159" t="s">
        <v>72</v>
      </c>
      <c r="B55" s="160">
        <f t="shared" si="9"/>
        <v>37968</v>
      </c>
      <c r="C55" s="161"/>
      <c r="D55" s="161"/>
      <c r="E55" s="161"/>
      <c r="F55" s="161">
        <f t="shared" si="8"/>
        <v>37968</v>
      </c>
      <c r="G55" s="162"/>
      <c r="H55" s="162">
        <v>36748</v>
      </c>
      <c r="I55" s="162">
        <v>1220</v>
      </c>
      <c r="J55" s="162"/>
      <c r="K55" s="162"/>
      <c r="L55" s="162"/>
      <c r="M55" s="161"/>
      <c r="N55" s="161"/>
      <c r="O55" s="161"/>
      <c r="P55" s="161"/>
      <c r="Q55" s="161"/>
    </row>
    <row r="56" spans="1:17" ht="30" customHeight="1">
      <c r="A56" s="159" t="s">
        <v>73</v>
      </c>
      <c r="B56" s="160">
        <f t="shared" si="9"/>
        <v>25188</v>
      </c>
      <c r="C56" s="161"/>
      <c r="D56" s="161"/>
      <c r="E56" s="161"/>
      <c r="F56" s="161">
        <f t="shared" si="8"/>
        <v>25188</v>
      </c>
      <c r="G56" s="162"/>
      <c r="H56" s="162">
        <v>23778</v>
      </c>
      <c r="I56" s="162">
        <v>1410</v>
      </c>
      <c r="J56" s="162"/>
      <c r="K56" s="162"/>
      <c r="L56" s="162"/>
      <c r="M56" s="161"/>
      <c r="N56" s="161"/>
      <c r="O56" s="161"/>
      <c r="P56" s="161"/>
      <c r="Q56" s="161"/>
    </row>
    <row r="57" spans="1:17" ht="30" customHeight="1">
      <c r="A57" s="159" t="s">
        <v>74</v>
      </c>
      <c r="B57" s="160">
        <f t="shared" si="9"/>
        <v>34470</v>
      </c>
      <c r="C57" s="161"/>
      <c r="D57" s="161"/>
      <c r="E57" s="161"/>
      <c r="F57" s="161">
        <f t="shared" si="8"/>
        <v>34470</v>
      </c>
      <c r="G57" s="162"/>
      <c r="H57" s="162">
        <v>34370</v>
      </c>
      <c r="I57" s="162">
        <v>100</v>
      </c>
      <c r="J57" s="162"/>
      <c r="K57" s="162"/>
      <c r="L57" s="162"/>
      <c r="M57" s="161"/>
      <c r="N57" s="161"/>
      <c r="O57" s="161"/>
      <c r="P57" s="161"/>
      <c r="Q57" s="161"/>
    </row>
    <row r="58" spans="1:17" ht="30" customHeight="1">
      <c r="A58" s="159" t="s">
        <v>221</v>
      </c>
      <c r="B58" s="160">
        <f t="shared" si="9"/>
        <v>17215</v>
      </c>
      <c r="C58" s="161"/>
      <c r="D58" s="161"/>
      <c r="E58" s="161"/>
      <c r="F58" s="161">
        <f t="shared" si="8"/>
        <v>17215</v>
      </c>
      <c r="G58" s="162"/>
      <c r="H58" s="162">
        <v>13015</v>
      </c>
      <c r="I58" s="162">
        <v>4200</v>
      </c>
      <c r="J58" s="162"/>
      <c r="K58" s="162"/>
      <c r="L58" s="162"/>
      <c r="M58" s="161"/>
      <c r="N58" s="161"/>
      <c r="O58" s="161"/>
      <c r="P58" s="161"/>
      <c r="Q58" s="161"/>
    </row>
    <row r="59" spans="1:17" ht="30" customHeight="1">
      <c r="A59" s="159" t="s">
        <v>75</v>
      </c>
      <c r="B59" s="160">
        <f t="shared" si="9"/>
        <v>15475</v>
      </c>
      <c r="C59" s="161"/>
      <c r="D59" s="161"/>
      <c r="E59" s="161"/>
      <c r="F59" s="161">
        <f t="shared" si="8"/>
        <v>15475</v>
      </c>
      <c r="G59" s="162"/>
      <c r="H59" s="162">
        <v>15295</v>
      </c>
      <c r="I59" s="162">
        <v>180</v>
      </c>
      <c r="J59" s="162"/>
      <c r="K59" s="162"/>
      <c r="L59" s="162"/>
      <c r="M59" s="161"/>
      <c r="N59" s="161"/>
      <c r="O59" s="161"/>
      <c r="P59" s="161"/>
      <c r="Q59" s="161"/>
    </row>
    <row r="60" spans="1:17" ht="41.25" customHeight="1">
      <c r="A60" s="159" t="s">
        <v>760</v>
      </c>
      <c r="B60" s="160">
        <f t="shared" si="9"/>
        <v>70044</v>
      </c>
      <c r="C60" s="161"/>
      <c r="D60" s="161"/>
      <c r="E60" s="161"/>
      <c r="F60" s="161">
        <f t="shared" si="8"/>
        <v>50044</v>
      </c>
      <c r="G60" s="162"/>
      <c r="H60" s="162">
        <v>9000</v>
      </c>
      <c r="I60" s="162">
        <v>41044</v>
      </c>
      <c r="J60" s="162"/>
      <c r="K60" s="162"/>
      <c r="L60" s="162"/>
      <c r="M60" s="161"/>
      <c r="N60" s="161"/>
      <c r="O60" s="161">
        <v>20000</v>
      </c>
      <c r="P60" s="161"/>
      <c r="Q60" s="161"/>
    </row>
    <row r="61" spans="1:17" ht="30" customHeight="1">
      <c r="A61" s="159" t="s">
        <v>220</v>
      </c>
      <c r="B61" s="160">
        <f t="shared" si="9"/>
        <v>39490</v>
      </c>
      <c r="C61" s="161"/>
      <c r="D61" s="161"/>
      <c r="E61" s="161"/>
      <c r="F61" s="161">
        <f t="shared" si="8"/>
        <v>39490</v>
      </c>
      <c r="G61" s="162"/>
      <c r="H61" s="162">
        <v>38840</v>
      </c>
      <c r="I61" s="162">
        <v>650</v>
      </c>
      <c r="J61" s="162"/>
      <c r="K61" s="162"/>
      <c r="L61" s="162"/>
      <c r="M61" s="161"/>
      <c r="N61" s="161"/>
      <c r="O61" s="161"/>
      <c r="P61" s="161"/>
      <c r="Q61" s="161"/>
    </row>
    <row r="62" spans="1:17" ht="30" customHeight="1">
      <c r="A62" s="159" t="s">
        <v>222</v>
      </c>
      <c r="B62" s="160">
        <f t="shared" si="9"/>
        <v>272453</v>
      </c>
      <c r="C62" s="161"/>
      <c r="D62" s="161"/>
      <c r="E62" s="161"/>
      <c r="F62" s="161">
        <f t="shared" si="8"/>
        <v>77453</v>
      </c>
      <c r="G62" s="162"/>
      <c r="H62" s="162">
        <v>31453</v>
      </c>
      <c r="I62" s="162">
        <v>46000</v>
      </c>
      <c r="J62" s="162"/>
      <c r="K62" s="162"/>
      <c r="L62" s="162"/>
      <c r="M62" s="161"/>
      <c r="N62" s="161"/>
      <c r="O62" s="161">
        <v>195000</v>
      </c>
      <c r="P62" s="161"/>
      <c r="Q62" s="161"/>
    </row>
    <row r="63" spans="1:17" ht="30" customHeight="1">
      <c r="A63" s="159" t="s">
        <v>224</v>
      </c>
      <c r="B63" s="160">
        <f t="shared" si="9"/>
        <v>52319</v>
      </c>
      <c r="C63" s="161">
        <f>D63+E63</f>
        <v>2472</v>
      </c>
      <c r="D63" s="161">
        <v>2000</v>
      </c>
      <c r="E63" s="161">
        <v>472</v>
      </c>
      <c r="F63" s="161">
        <f t="shared" si="8"/>
        <v>29847</v>
      </c>
      <c r="G63" s="162"/>
      <c r="H63" s="162">
        <v>19867</v>
      </c>
      <c r="I63" s="162">
        <v>9980</v>
      </c>
      <c r="J63" s="162"/>
      <c r="K63" s="162"/>
      <c r="L63" s="162"/>
      <c r="M63" s="161"/>
      <c r="N63" s="161"/>
      <c r="O63" s="161">
        <v>20000</v>
      </c>
      <c r="P63" s="161"/>
      <c r="Q63" s="161"/>
    </row>
    <row r="64" spans="1:17" ht="30" customHeight="1">
      <c r="A64" s="159" t="s">
        <v>225</v>
      </c>
      <c r="B64" s="160">
        <f t="shared" si="9"/>
        <v>83521</v>
      </c>
      <c r="C64" s="161"/>
      <c r="D64" s="161"/>
      <c r="E64" s="161"/>
      <c r="F64" s="161">
        <f t="shared" si="8"/>
        <v>55321</v>
      </c>
      <c r="G64" s="162"/>
      <c r="H64" s="162">
        <v>50483</v>
      </c>
      <c r="I64" s="162">
        <v>4838</v>
      </c>
      <c r="J64" s="162"/>
      <c r="K64" s="162"/>
      <c r="L64" s="162"/>
      <c r="M64" s="161"/>
      <c r="N64" s="161"/>
      <c r="O64" s="161">
        <v>28200</v>
      </c>
      <c r="P64" s="161"/>
      <c r="Q64" s="161"/>
    </row>
    <row r="65" spans="1:17" ht="30" customHeight="1">
      <c r="A65" s="159" t="s">
        <v>76</v>
      </c>
      <c r="B65" s="160">
        <f t="shared" si="9"/>
        <v>48629</v>
      </c>
      <c r="C65" s="161"/>
      <c r="D65" s="161"/>
      <c r="E65" s="161"/>
      <c r="F65" s="161">
        <f t="shared" si="8"/>
        <v>48629</v>
      </c>
      <c r="G65" s="162"/>
      <c r="H65" s="162">
        <v>43229</v>
      </c>
      <c r="I65" s="162">
        <v>5400</v>
      </c>
      <c r="J65" s="162"/>
      <c r="K65" s="162"/>
      <c r="L65" s="162"/>
      <c r="M65" s="161"/>
      <c r="N65" s="161"/>
      <c r="O65" s="161"/>
      <c r="P65" s="161"/>
      <c r="Q65" s="161"/>
    </row>
    <row r="66" spans="1:17" ht="30" customHeight="1">
      <c r="A66" s="159" t="s">
        <v>77</v>
      </c>
      <c r="B66" s="160">
        <f t="shared" si="9"/>
        <v>20346</v>
      </c>
      <c r="C66" s="161"/>
      <c r="D66" s="161"/>
      <c r="E66" s="161"/>
      <c r="F66" s="161">
        <f t="shared" si="8"/>
        <v>20346</v>
      </c>
      <c r="G66" s="162"/>
      <c r="H66" s="162">
        <v>19346</v>
      </c>
      <c r="I66" s="162">
        <v>1000</v>
      </c>
      <c r="J66" s="162"/>
      <c r="K66" s="162"/>
      <c r="L66" s="162"/>
      <c r="M66" s="161"/>
      <c r="N66" s="161"/>
      <c r="O66" s="161"/>
      <c r="P66" s="161"/>
      <c r="Q66" s="161"/>
    </row>
    <row r="67" spans="1:17" ht="30" customHeight="1">
      <c r="A67" s="159" t="s">
        <v>228</v>
      </c>
      <c r="B67" s="160">
        <f t="shared" si="9"/>
        <v>31686</v>
      </c>
      <c r="C67" s="161">
        <f>D67+E67</f>
        <v>7507</v>
      </c>
      <c r="D67" s="161">
        <v>5880</v>
      </c>
      <c r="E67" s="161">
        <v>1627</v>
      </c>
      <c r="F67" s="161">
        <f t="shared" si="8"/>
        <v>24179</v>
      </c>
      <c r="G67" s="162"/>
      <c r="H67" s="162">
        <v>17009</v>
      </c>
      <c r="I67" s="162">
        <v>7170</v>
      </c>
      <c r="J67" s="162"/>
      <c r="K67" s="162"/>
      <c r="L67" s="162"/>
      <c r="M67" s="161"/>
      <c r="N67" s="161"/>
      <c r="O67" s="161"/>
      <c r="P67" s="161"/>
      <c r="Q67" s="161"/>
    </row>
    <row r="68" spans="1:17" ht="30" customHeight="1">
      <c r="A68" s="159" t="s">
        <v>78</v>
      </c>
      <c r="B68" s="160">
        <f t="shared" si="9"/>
        <v>29811</v>
      </c>
      <c r="C68" s="161">
        <f t="shared" si="10" ref="C68:C70">=D68+E68</f>
        <v>0</v>
      </c>
      <c r="D68" s="161"/>
      <c r="E68" s="161"/>
      <c r="F68" s="161">
        <f t="shared" si="8"/>
        <v>29811</v>
      </c>
      <c r="G68" s="162"/>
      <c r="H68" s="162">
        <v>25141</v>
      </c>
      <c r="I68" s="162">
        <v>4670</v>
      </c>
      <c r="J68" s="162"/>
      <c r="K68" s="162"/>
      <c r="L68" s="162"/>
      <c r="M68" s="161"/>
      <c r="N68" s="161"/>
      <c r="O68" s="161"/>
      <c r="P68" s="161"/>
      <c r="Q68" s="161"/>
    </row>
    <row r="69" spans="1:17" ht="30" customHeight="1">
      <c r="A69" s="159" t="s">
        <v>226</v>
      </c>
      <c r="B69" s="160">
        <f t="shared" si="9"/>
        <v>9793</v>
      </c>
      <c r="C69" s="161">
        <f t="shared" si="10"/>
        <v>0</v>
      </c>
      <c r="D69" s="161"/>
      <c r="E69" s="161"/>
      <c r="F69" s="161">
        <f t="shared" si="8"/>
        <v>9793</v>
      </c>
      <c r="G69" s="162"/>
      <c r="H69" s="162">
        <v>6793</v>
      </c>
      <c r="I69" s="162">
        <v>3000</v>
      </c>
      <c r="J69" s="162"/>
      <c r="K69" s="162"/>
      <c r="L69" s="162"/>
      <c r="M69" s="161"/>
      <c r="N69" s="161"/>
      <c r="O69" s="161"/>
      <c r="P69" s="161"/>
      <c r="Q69" s="161"/>
    </row>
    <row r="70" spans="1:17" ht="30" customHeight="1">
      <c r="A70" s="159" t="s">
        <v>227</v>
      </c>
      <c r="B70" s="160">
        <f t="shared" si="9"/>
        <v>24565</v>
      </c>
      <c r="C70" s="161">
        <f t="shared" si="10"/>
        <v>5191</v>
      </c>
      <c r="D70" s="161">
        <v>4200</v>
      </c>
      <c r="E70" s="161">
        <v>991</v>
      </c>
      <c r="F70" s="161">
        <f t="shared" si="8"/>
        <v>19374</v>
      </c>
      <c r="G70" s="162"/>
      <c r="H70" s="162">
        <v>12874</v>
      </c>
      <c r="I70" s="162">
        <v>6500</v>
      </c>
      <c r="J70" s="162"/>
      <c r="K70" s="162"/>
      <c r="L70" s="162"/>
      <c r="M70" s="161"/>
      <c r="N70" s="161"/>
      <c r="O70" s="161"/>
      <c r="P70" s="161"/>
      <c r="Q70" s="161"/>
    </row>
    <row r="71" spans="1:17" ht="30" customHeight="1">
      <c r="A71" s="159" t="s">
        <v>737</v>
      </c>
      <c r="B71" s="160">
        <f>SUM(C71:F71,M71:Q71)</f>
        <v>298886</v>
      </c>
      <c r="C71" s="161"/>
      <c r="D71" s="161"/>
      <c r="E71" s="161"/>
      <c r="F71" s="161">
        <f t="shared" si="8"/>
        <v>298886</v>
      </c>
      <c r="G71" s="162"/>
      <c r="H71" s="162">
        <v>298886</v>
      </c>
      <c r="I71" s="162"/>
      <c r="J71" s="162"/>
      <c r="K71" s="162"/>
      <c r="L71" s="162"/>
      <c r="M71" s="161"/>
      <c r="N71" s="161"/>
      <c r="O71" s="161"/>
      <c r="P71" s="161"/>
      <c r="Q71" s="161"/>
    </row>
    <row r="72" spans="1:17" ht="15" customHeight="1">
      <c r="A72" s="159" t="s">
        <v>139</v>
      </c>
      <c r="B72" s="160">
        <f t="shared" si="11" ref="B72:B77">=SUM(C72+F72,M72:Q72)</f>
        <v>70475</v>
      </c>
      <c r="C72" s="161">
        <f>D72+E72</f>
        <v>1483</v>
      </c>
      <c r="D72" s="161">
        <v>1200</v>
      </c>
      <c r="E72" s="161">
        <v>283</v>
      </c>
      <c r="F72" s="161">
        <f t="shared" si="8"/>
        <v>2360</v>
      </c>
      <c r="G72" s="162"/>
      <c r="H72" s="162">
        <v>2360</v>
      </c>
      <c r="I72" s="162"/>
      <c r="J72" s="162"/>
      <c r="K72" s="162"/>
      <c r="L72" s="162"/>
      <c r="M72" s="161"/>
      <c r="N72" s="161"/>
      <c r="O72" s="161"/>
      <c r="P72" s="161">
        <v>57000</v>
      </c>
      <c r="Q72" s="161">
        <v>9632</v>
      </c>
    </row>
    <row r="73" spans="1:17" ht="15" customHeight="1">
      <c r="A73" s="159" t="s">
        <v>140</v>
      </c>
      <c r="B73" s="160">
        <f t="shared" si="11"/>
        <v>18664</v>
      </c>
      <c r="C73" s="161">
        <f>D73+E73</f>
        <v>14640</v>
      </c>
      <c r="D73" s="161">
        <v>11830</v>
      </c>
      <c r="E73" s="161">
        <v>2810</v>
      </c>
      <c r="F73" s="161">
        <f t="shared" si="8"/>
        <v>4024</v>
      </c>
      <c r="G73" s="162"/>
      <c r="H73" s="162">
        <v>3444</v>
      </c>
      <c r="I73" s="162">
        <v>580</v>
      </c>
      <c r="J73" s="162"/>
      <c r="K73" s="162"/>
      <c r="L73" s="162"/>
      <c r="M73" s="161"/>
      <c r="N73" s="161"/>
      <c r="O73" s="161"/>
      <c r="P73" s="161"/>
      <c r="Q73" s="161"/>
    </row>
    <row r="74" spans="1:17" ht="45" customHeight="1">
      <c r="A74" s="167" t="s">
        <v>254</v>
      </c>
      <c r="B74" s="160">
        <f t="shared" si="11"/>
        <v>187419</v>
      </c>
      <c r="C74" s="161"/>
      <c r="D74" s="161"/>
      <c r="E74" s="161"/>
      <c r="F74" s="161">
        <f t="shared" si="8"/>
        <v>0</v>
      </c>
      <c r="G74" s="162"/>
      <c r="H74" s="162"/>
      <c r="I74" s="162"/>
      <c r="J74" s="162"/>
      <c r="K74" s="162"/>
      <c r="L74" s="162"/>
      <c r="M74" s="161"/>
      <c r="N74" s="161"/>
      <c r="O74" s="161">
        <v>187419</v>
      </c>
      <c r="P74" s="161"/>
      <c r="Q74" s="161"/>
    </row>
    <row r="75" spans="1:17" ht="45" customHeight="1">
      <c r="A75" s="167" t="s">
        <v>79</v>
      </c>
      <c r="B75" s="160">
        <f t="shared" si="11"/>
        <v>66093</v>
      </c>
      <c r="C75" s="161"/>
      <c r="D75" s="161"/>
      <c r="E75" s="161"/>
      <c r="F75" s="161">
        <f t="shared" si="8"/>
        <v>66093</v>
      </c>
      <c r="G75" s="162"/>
      <c r="H75" s="162">
        <v>66093</v>
      </c>
      <c r="I75" s="162"/>
      <c r="J75" s="162"/>
      <c r="K75" s="162"/>
      <c r="L75" s="162"/>
      <c r="M75" s="161"/>
      <c r="N75" s="161"/>
      <c r="O75" s="161"/>
      <c r="P75" s="161"/>
      <c r="Q75" s="161"/>
    </row>
    <row r="76" spans="1:17" ht="30" customHeight="1">
      <c r="A76" s="159" t="s">
        <v>335</v>
      </c>
      <c r="B76" s="160">
        <f t="shared" si="11"/>
        <v>7712</v>
      </c>
      <c r="C76" s="161"/>
      <c r="D76" s="161"/>
      <c r="E76" s="161"/>
      <c r="F76" s="161">
        <f t="shared" si="8"/>
        <v>7712</v>
      </c>
      <c r="G76" s="162"/>
      <c r="H76" s="162">
        <v>4682</v>
      </c>
      <c r="I76" s="162">
        <v>2880</v>
      </c>
      <c r="J76" s="162"/>
      <c r="K76" s="162">
        <v>150</v>
      </c>
      <c r="L76" s="162"/>
      <c r="M76" s="161"/>
      <c r="N76" s="161"/>
      <c r="O76" s="161"/>
      <c r="P76" s="161"/>
      <c r="Q76" s="161"/>
    </row>
    <row r="77" spans="1:17" ht="30" customHeight="1">
      <c r="A77" s="167" t="s">
        <v>734</v>
      </c>
      <c r="B77" s="160">
        <f t="shared" si="11"/>
        <v>2845</v>
      </c>
      <c r="C77" s="161"/>
      <c r="D77" s="161"/>
      <c r="E77" s="161"/>
      <c r="F77" s="161">
        <f t="shared" si="12" ref="F77:F94">=SUM(G77:K77)</f>
        <v>2845</v>
      </c>
      <c r="G77" s="162"/>
      <c r="H77" s="162">
        <v>2245</v>
      </c>
      <c r="I77" s="162">
        <v>300</v>
      </c>
      <c r="J77" s="162"/>
      <c r="K77" s="162">
        <v>300</v>
      </c>
      <c r="L77" s="162"/>
      <c r="M77" s="161"/>
      <c r="N77" s="161"/>
      <c r="O77" s="161"/>
      <c r="P77" s="161"/>
      <c r="Q77" s="161"/>
    </row>
    <row r="78" spans="1:17" ht="30" customHeight="1">
      <c r="A78" s="167" t="s">
        <v>256</v>
      </c>
      <c r="B78" s="160">
        <f>SUM(C78:F78,M78:Q78)</f>
        <v>4230</v>
      </c>
      <c r="C78" s="161"/>
      <c r="D78" s="161"/>
      <c r="E78" s="161"/>
      <c r="F78" s="161">
        <f t="shared" si="12"/>
        <v>4230</v>
      </c>
      <c r="G78" s="162"/>
      <c r="H78" s="162">
        <v>3900</v>
      </c>
      <c r="I78" s="162">
        <v>330</v>
      </c>
      <c r="J78" s="162"/>
      <c r="K78" s="162"/>
      <c r="L78" s="162"/>
      <c r="M78" s="161"/>
      <c r="N78" s="161"/>
      <c r="O78" s="161"/>
      <c r="P78" s="161"/>
      <c r="Q78" s="161"/>
    </row>
    <row r="79" spans="1:17" ht="30" customHeight="1">
      <c r="A79" s="167" t="s">
        <v>731</v>
      </c>
      <c r="B79" s="160">
        <f>SUM(C79+F79,M79:Q79)</f>
        <v>4259</v>
      </c>
      <c r="C79" s="161"/>
      <c r="D79" s="161"/>
      <c r="E79" s="161"/>
      <c r="F79" s="161">
        <f t="shared" si="12"/>
        <v>4259</v>
      </c>
      <c r="G79" s="162"/>
      <c r="H79" s="162">
        <v>4139</v>
      </c>
      <c r="I79" s="162">
        <v>120</v>
      </c>
      <c r="J79" s="162"/>
      <c r="K79" s="162"/>
      <c r="L79" s="162"/>
      <c r="M79" s="161"/>
      <c r="N79" s="161"/>
      <c r="O79" s="161"/>
      <c r="P79" s="161"/>
      <c r="Q79" s="161"/>
    </row>
    <row r="80" spans="1:17" ht="30" customHeight="1">
      <c r="A80" s="167" t="s">
        <v>248</v>
      </c>
      <c r="B80" s="160">
        <f>SUM(C80:F80,M80:Q80)</f>
        <v>3668</v>
      </c>
      <c r="C80" s="161"/>
      <c r="D80" s="161"/>
      <c r="E80" s="161"/>
      <c r="F80" s="161">
        <f t="shared" si="12"/>
        <v>3668</v>
      </c>
      <c r="G80" s="162"/>
      <c r="H80" s="162">
        <v>2969</v>
      </c>
      <c r="I80" s="162">
        <v>450</v>
      </c>
      <c r="J80" s="162"/>
      <c r="K80" s="162">
        <v>249</v>
      </c>
      <c r="L80" s="162"/>
      <c r="M80" s="161"/>
      <c r="N80" s="161"/>
      <c r="O80" s="161"/>
      <c r="P80" s="161"/>
      <c r="Q80" s="161"/>
    </row>
    <row r="81" spans="1:17" ht="30" customHeight="1">
      <c r="A81" s="167" t="s">
        <v>251</v>
      </c>
      <c r="B81" s="160">
        <f>SUM(C81+F81,M81:Q81)</f>
        <v>6752</v>
      </c>
      <c r="C81" s="161"/>
      <c r="D81" s="161"/>
      <c r="E81" s="161"/>
      <c r="F81" s="161">
        <f t="shared" si="12"/>
        <v>6752</v>
      </c>
      <c r="G81" s="162"/>
      <c r="H81" s="162">
        <v>6587</v>
      </c>
      <c r="I81" s="162">
        <v>120</v>
      </c>
      <c r="J81" s="162"/>
      <c r="K81" s="162">
        <v>45</v>
      </c>
      <c r="L81" s="162"/>
      <c r="M81" s="161"/>
      <c r="N81" s="161"/>
      <c r="O81" s="161"/>
      <c r="P81" s="161"/>
      <c r="Q81" s="161"/>
    </row>
    <row r="82" spans="1:17" ht="30" customHeight="1">
      <c r="A82" s="167" t="s">
        <v>145</v>
      </c>
      <c r="B82" s="160">
        <f>SUM(C82+F82,M82:Q82)</f>
        <v>4700</v>
      </c>
      <c r="C82" s="161"/>
      <c r="D82" s="161"/>
      <c r="E82" s="161"/>
      <c r="F82" s="161">
        <f t="shared" si="12"/>
        <v>4700</v>
      </c>
      <c r="G82" s="162"/>
      <c r="H82" s="162">
        <v>4300</v>
      </c>
      <c r="I82" s="162">
        <v>310</v>
      </c>
      <c r="J82" s="162"/>
      <c r="K82" s="162">
        <v>90</v>
      </c>
      <c r="L82" s="162"/>
      <c r="M82" s="161"/>
      <c r="N82" s="161"/>
      <c r="O82" s="161"/>
      <c r="P82" s="161"/>
      <c r="Q82" s="161"/>
    </row>
    <row r="83" spans="1:17" ht="30" customHeight="1">
      <c r="A83" s="159" t="s">
        <v>336</v>
      </c>
      <c r="B83" s="160">
        <f>SUM(C83+F83,M83:Q83)</f>
        <v>8550</v>
      </c>
      <c r="C83" s="161"/>
      <c r="D83" s="161"/>
      <c r="E83" s="161"/>
      <c r="F83" s="161">
        <f t="shared" si="12"/>
        <v>8550</v>
      </c>
      <c r="G83" s="162"/>
      <c r="H83" s="162">
        <v>7350</v>
      </c>
      <c r="I83" s="162">
        <v>1200</v>
      </c>
      <c r="J83" s="162"/>
      <c r="K83" s="162"/>
      <c r="L83" s="162"/>
      <c r="M83" s="161"/>
      <c r="N83" s="161"/>
      <c r="O83" s="161"/>
      <c r="P83" s="161"/>
      <c r="Q83" s="161"/>
    </row>
    <row r="84" spans="1:17" ht="30" customHeight="1">
      <c r="A84" s="159" t="s">
        <v>729</v>
      </c>
      <c r="B84" s="160">
        <f>SUM(C84+F84,M84:Q84)</f>
        <v>3002</v>
      </c>
      <c r="C84" s="161"/>
      <c r="D84" s="161"/>
      <c r="E84" s="161"/>
      <c r="F84" s="161">
        <f t="shared" si="12"/>
        <v>3002</v>
      </c>
      <c r="G84" s="162"/>
      <c r="H84" s="162">
        <v>2810</v>
      </c>
      <c r="I84" s="162">
        <v>142</v>
      </c>
      <c r="J84" s="162"/>
      <c r="K84" s="162">
        <v>50</v>
      </c>
      <c r="L84" s="162"/>
      <c r="M84" s="161"/>
      <c r="N84" s="161"/>
      <c r="O84" s="161"/>
      <c r="P84" s="161"/>
      <c r="Q84" s="161"/>
    </row>
    <row r="85" spans="1:17" ht="30" customHeight="1">
      <c r="A85" s="167" t="s">
        <v>142</v>
      </c>
      <c r="B85" s="160">
        <f>SUM(C85:F85,M85:Q85)</f>
        <v>10086</v>
      </c>
      <c r="C85" s="161"/>
      <c r="D85" s="161"/>
      <c r="E85" s="161"/>
      <c r="F85" s="161">
        <f t="shared" si="12"/>
        <v>10086</v>
      </c>
      <c r="G85" s="162"/>
      <c r="H85" s="162">
        <v>9576</v>
      </c>
      <c r="I85" s="162">
        <v>410</v>
      </c>
      <c r="J85" s="162"/>
      <c r="K85" s="162">
        <v>100</v>
      </c>
      <c r="L85" s="162"/>
      <c r="M85" s="161"/>
      <c r="N85" s="161"/>
      <c r="O85" s="161"/>
      <c r="P85" s="161"/>
      <c r="Q85" s="161"/>
    </row>
    <row r="86" spans="1:17" ht="30" customHeight="1">
      <c r="A86" s="167" t="s">
        <v>144</v>
      </c>
      <c r="B86" s="160">
        <f t="shared" si="13" ref="B86:B93">=SUM(C86+F86,M86:Q86)</f>
        <v>1010</v>
      </c>
      <c r="C86" s="161"/>
      <c r="D86" s="161"/>
      <c r="E86" s="161"/>
      <c r="F86" s="161">
        <f t="shared" si="12"/>
        <v>1010</v>
      </c>
      <c r="G86" s="162"/>
      <c r="H86" s="162">
        <v>210</v>
      </c>
      <c r="I86" s="162">
        <v>780</v>
      </c>
      <c r="J86" s="162"/>
      <c r="K86" s="162">
        <v>20</v>
      </c>
      <c r="L86" s="162"/>
      <c r="M86" s="161"/>
      <c r="N86" s="161"/>
      <c r="O86" s="161"/>
      <c r="P86" s="161"/>
      <c r="Q86" s="161"/>
    </row>
    <row r="87" spans="1:17" ht="30" customHeight="1">
      <c r="A87" s="159" t="s">
        <v>334</v>
      </c>
      <c r="B87" s="160">
        <f t="shared" si="13"/>
        <v>8710</v>
      </c>
      <c r="C87" s="161"/>
      <c r="D87" s="161"/>
      <c r="E87" s="161"/>
      <c r="F87" s="161">
        <f t="shared" si="12"/>
        <v>8710</v>
      </c>
      <c r="G87" s="162"/>
      <c r="H87" s="162">
        <v>8010</v>
      </c>
      <c r="I87" s="162">
        <v>700</v>
      </c>
      <c r="J87" s="162"/>
      <c r="K87" s="162"/>
      <c r="L87" s="162"/>
      <c r="M87" s="161"/>
      <c r="N87" s="161"/>
      <c r="O87" s="161"/>
      <c r="P87" s="161"/>
      <c r="Q87" s="161"/>
    </row>
    <row r="88" spans="1:17" ht="30" customHeight="1">
      <c r="A88" s="167" t="s">
        <v>258</v>
      </c>
      <c r="B88" s="160">
        <f t="shared" si="13"/>
        <v>10656</v>
      </c>
      <c r="C88" s="161"/>
      <c r="D88" s="161"/>
      <c r="E88" s="161"/>
      <c r="F88" s="161">
        <f t="shared" si="12"/>
        <v>10656</v>
      </c>
      <c r="G88" s="162"/>
      <c r="H88" s="162">
        <v>10305</v>
      </c>
      <c r="I88" s="162">
        <v>226</v>
      </c>
      <c r="J88" s="162"/>
      <c r="K88" s="162">
        <v>125</v>
      </c>
      <c r="L88" s="162"/>
      <c r="M88" s="161"/>
      <c r="N88" s="161"/>
      <c r="O88" s="161"/>
      <c r="P88" s="161"/>
      <c r="Q88" s="161"/>
    </row>
    <row r="89" spans="1:17" ht="30" customHeight="1">
      <c r="A89" s="167" t="s">
        <v>143</v>
      </c>
      <c r="B89" s="160">
        <f t="shared" si="13"/>
        <v>720</v>
      </c>
      <c r="C89" s="161"/>
      <c r="D89" s="161"/>
      <c r="E89" s="161"/>
      <c r="F89" s="161">
        <f t="shared" si="12"/>
        <v>720</v>
      </c>
      <c r="G89" s="162"/>
      <c r="H89" s="162">
        <v>500</v>
      </c>
      <c r="I89" s="162">
        <v>200</v>
      </c>
      <c r="J89" s="162"/>
      <c r="K89" s="162">
        <v>20</v>
      </c>
      <c r="L89" s="162"/>
      <c r="M89" s="161"/>
      <c r="N89" s="161"/>
      <c r="O89" s="161"/>
      <c r="P89" s="161"/>
      <c r="Q89" s="161"/>
    </row>
    <row r="90" spans="1:17" ht="30" customHeight="1">
      <c r="A90" s="167" t="s">
        <v>146</v>
      </c>
      <c r="B90" s="160">
        <f t="shared" si="13"/>
        <v>3508</v>
      </c>
      <c r="C90" s="161"/>
      <c r="D90" s="161"/>
      <c r="E90" s="161"/>
      <c r="F90" s="161">
        <f t="shared" si="12"/>
        <v>3508</v>
      </c>
      <c r="G90" s="162"/>
      <c r="H90" s="162">
        <v>2548</v>
      </c>
      <c r="I90" s="162">
        <v>840</v>
      </c>
      <c r="J90" s="162"/>
      <c r="K90" s="162">
        <v>120</v>
      </c>
      <c r="L90" s="162"/>
      <c r="M90" s="161"/>
      <c r="N90" s="161"/>
      <c r="O90" s="161"/>
      <c r="P90" s="161"/>
      <c r="Q90" s="161"/>
    </row>
    <row r="91" spans="1:17" ht="45" customHeight="1">
      <c r="A91" s="167" t="s">
        <v>217</v>
      </c>
      <c r="B91" s="160">
        <f t="shared" si="13"/>
        <v>18269</v>
      </c>
      <c r="C91" s="161"/>
      <c r="D91" s="161"/>
      <c r="E91" s="161"/>
      <c r="F91" s="161">
        <f t="shared" si="12"/>
        <v>18269</v>
      </c>
      <c r="G91" s="162"/>
      <c r="H91" s="162">
        <v>16267</v>
      </c>
      <c r="I91" s="162">
        <v>1762</v>
      </c>
      <c r="J91" s="162"/>
      <c r="K91" s="162">
        <v>240</v>
      </c>
      <c r="L91" s="162"/>
      <c r="M91" s="161"/>
      <c r="N91" s="161"/>
      <c r="O91" s="161"/>
      <c r="P91" s="161"/>
      <c r="Q91" s="161"/>
    </row>
    <row r="92" spans="1:17" ht="30" customHeight="1">
      <c r="A92" s="167" t="s">
        <v>732</v>
      </c>
      <c r="B92" s="160">
        <f t="shared" si="13"/>
        <v>6665</v>
      </c>
      <c r="C92" s="161"/>
      <c r="D92" s="161"/>
      <c r="E92" s="161"/>
      <c r="F92" s="161">
        <f t="shared" si="12"/>
        <v>6665</v>
      </c>
      <c r="G92" s="162"/>
      <c r="H92" s="162">
        <v>6315</v>
      </c>
      <c r="I92" s="162"/>
      <c r="J92" s="162"/>
      <c r="K92" s="162">
        <v>350</v>
      </c>
      <c r="L92" s="162"/>
      <c r="M92" s="161"/>
      <c r="N92" s="161"/>
      <c r="O92" s="161"/>
      <c r="P92" s="161"/>
      <c r="Q92" s="161"/>
    </row>
    <row r="93" spans="1:17" ht="30" customHeight="1">
      <c r="A93" s="167" t="s">
        <v>147</v>
      </c>
      <c r="B93" s="160">
        <f t="shared" si="13"/>
        <v>8361</v>
      </c>
      <c r="C93" s="161"/>
      <c r="D93" s="161"/>
      <c r="E93" s="161"/>
      <c r="F93" s="161">
        <f t="shared" si="12"/>
        <v>8361</v>
      </c>
      <c r="G93" s="162"/>
      <c r="H93" s="162">
        <v>6994</v>
      </c>
      <c r="I93" s="162">
        <v>821</v>
      </c>
      <c r="J93" s="162"/>
      <c r="K93" s="162">
        <v>546</v>
      </c>
      <c r="L93" s="162"/>
      <c r="M93" s="161"/>
      <c r="N93" s="161"/>
      <c r="O93" s="161"/>
      <c r="P93" s="161"/>
      <c r="Q93" s="161"/>
    </row>
    <row r="94" spans="1:17" ht="54.75" customHeight="1">
      <c r="A94" s="167" t="s">
        <v>141</v>
      </c>
      <c r="B94" s="160">
        <f>SUM(C94:F94,M94:Q94)</f>
        <v>3510</v>
      </c>
      <c r="C94" s="161"/>
      <c r="D94" s="161"/>
      <c r="E94" s="161"/>
      <c r="F94" s="161">
        <f t="shared" si="12"/>
        <v>3510</v>
      </c>
      <c r="G94" s="162"/>
      <c r="H94" s="162">
        <v>3510</v>
      </c>
      <c r="I94" s="162"/>
      <c r="J94" s="162"/>
      <c r="K94" s="162"/>
      <c r="L94" s="162"/>
      <c r="M94" s="161"/>
      <c r="N94" s="161"/>
      <c r="O94" s="161"/>
      <c r="P94" s="161"/>
      <c r="Q94" s="161"/>
    </row>
    <row r="95" spans="1:17" ht="15" customHeight="1">
      <c r="A95" s="167" t="s">
        <v>19</v>
      </c>
      <c r="B95" s="160">
        <f t="shared" si="14" ref="B95:B99">=SUM(C95+F95,M95:Q95)</f>
        <v>119842</v>
      </c>
      <c r="C95" s="161"/>
      <c r="D95" s="161"/>
      <c r="E95" s="161"/>
      <c r="F95" s="161">
        <f>SUM(G95:K95)</f>
        <v>119842</v>
      </c>
      <c r="G95" s="162"/>
      <c r="H95" s="162">
        <v>119842</v>
      </c>
      <c r="I95" s="162"/>
      <c r="J95" s="162"/>
      <c r="K95" s="162"/>
      <c r="L95" s="162"/>
      <c r="M95" s="161"/>
      <c r="N95" s="161"/>
      <c r="O95" s="161"/>
      <c r="P95" s="161"/>
      <c r="Q95" s="161"/>
    </row>
    <row r="96" spans="1:17" ht="15" customHeight="1">
      <c r="A96" s="167" t="s">
        <v>190</v>
      </c>
      <c r="B96" s="160">
        <f t="shared" si="14"/>
        <v>95682</v>
      </c>
      <c r="C96" s="161"/>
      <c r="D96" s="161"/>
      <c r="E96" s="161"/>
      <c r="F96" s="161">
        <f>SUM(G96:K96)</f>
        <v>95682</v>
      </c>
      <c r="G96" s="162"/>
      <c r="H96" s="162">
        <v>90682</v>
      </c>
      <c r="I96" s="162"/>
      <c r="J96" s="162"/>
      <c r="K96" s="162">
        <v>5000</v>
      </c>
      <c r="L96" s="162"/>
      <c r="M96" s="161"/>
      <c r="N96" s="161"/>
      <c r="O96" s="161"/>
      <c r="P96" s="161"/>
      <c r="Q96" s="161"/>
    </row>
    <row r="97" spans="1:17" ht="15" customHeight="1">
      <c r="A97" s="164" t="s">
        <v>194</v>
      </c>
      <c r="B97" s="160">
        <f>SUM(C97+F97,M97:Q97)</f>
        <v>58549</v>
      </c>
      <c r="C97" s="161"/>
      <c r="D97" s="161"/>
      <c r="E97" s="161"/>
      <c r="F97" s="161">
        <f>SUM(G97:K97)</f>
        <v>27549</v>
      </c>
      <c r="G97" s="162"/>
      <c r="H97" s="162">
        <v>27549</v>
      </c>
      <c r="I97" s="162"/>
      <c r="J97" s="162"/>
      <c r="K97" s="162"/>
      <c r="L97" s="162"/>
      <c r="M97" s="161"/>
      <c r="N97" s="161"/>
      <c r="O97" s="161"/>
      <c r="P97" s="161">
        <v>31000</v>
      </c>
      <c r="Q97" s="161"/>
    </row>
    <row r="98" spans="1:17" ht="30" customHeight="1">
      <c r="A98" s="164" t="s">
        <v>20</v>
      </c>
      <c r="B98" s="160">
        <f t="shared" si="14"/>
        <v>29550</v>
      </c>
      <c r="C98" s="161">
        <f t="shared" si="15" ref="C98:C108">=D98+E98</f>
        <v>24890</v>
      </c>
      <c r="D98" s="161">
        <v>20140</v>
      </c>
      <c r="E98" s="161">
        <v>4750</v>
      </c>
      <c r="F98" s="161">
        <f t="shared" si="16" ref="F98:F113">=SUM(G98:K98)</f>
        <v>4660</v>
      </c>
      <c r="G98" s="162"/>
      <c r="H98" s="162">
        <v>2290</v>
      </c>
      <c r="I98" s="162">
        <v>2370</v>
      </c>
      <c r="J98" s="162"/>
      <c r="K98" s="162"/>
      <c r="L98" s="162"/>
      <c r="M98" s="161"/>
      <c r="N98" s="161"/>
      <c r="O98" s="161"/>
      <c r="P98" s="161"/>
      <c r="Q98" s="161"/>
    </row>
    <row r="99" spans="1:17" ht="30" customHeight="1">
      <c r="A99" s="164" t="s">
        <v>288</v>
      </c>
      <c r="B99" s="160">
        <f t="shared" si="14"/>
        <v>75324</v>
      </c>
      <c r="C99" s="161">
        <f t="shared" si="15"/>
        <v>44659</v>
      </c>
      <c r="D99" s="161">
        <v>36877</v>
      </c>
      <c r="E99" s="161">
        <v>7782</v>
      </c>
      <c r="F99" s="161">
        <f t="shared" si="16"/>
        <v>30665</v>
      </c>
      <c r="G99" s="162"/>
      <c r="H99" s="162">
        <v>7625</v>
      </c>
      <c r="I99" s="162">
        <v>22580</v>
      </c>
      <c r="J99" s="162"/>
      <c r="K99" s="162">
        <v>460</v>
      </c>
      <c r="L99" s="162"/>
      <c r="M99" s="161"/>
      <c r="N99" s="161"/>
      <c r="O99" s="161"/>
      <c r="P99" s="161"/>
      <c r="Q99" s="161"/>
    </row>
    <row r="100" spans="1:17" ht="30" customHeight="1">
      <c r="A100" s="164" t="s">
        <v>21</v>
      </c>
      <c r="B100" s="160">
        <f>C100+F100+M100+N100+O100+P100+Q100</f>
        <v>29715</v>
      </c>
      <c r="C100" s="161">
        <f t="shared" si="15"/>
        <v>25966</v>
      </c>
      <c r="D100" s="161">
        <v>21010</v>
      </c>
      <c r="E100" s="161">
        <v>4956</v>
      </c>
      <c r="F100" s="161">
        <f t="shared" si="16"/>
        <v>3749</v>
      </c>
      <c r="G100" s="162"/>
      <c r="H100" s="162">
        <v>1629</v>
      </c>
      <c r="I100" s="162">
        <v>1470</v>
      </c>
      <c r="J100" s="162"/>
      <c r="K100" s="162">
        <v>650</v>
      </c>
      <c r="L100" s="162"/>
      <c r="M100" s="161"/>
      <c r="N100" s="161"/>
      <c r="O100" s="161"/>
      <c r="P100" s="161"/>
      <c r="Q100" s="161"/>
    </row>
    <row r="101" spans="1:17" ht="30" customHeight="1">
      <c r="A101" s="164" t="s">
        <v>22</v>
      </c>
      <c r="B101" s="160">
        <f t="shared" si="17" ref="B101:B113">=SUM(C101+F101,M101:Q101)</f>
        <v>61855</v>
      </c>
      <c r="C101" s="161">
        <f t="shared" si="15"/>
        <v>37861</v>
      </c>
      <c r="D101" s="161">
        <v>30634</v>
      </c>
      <c r="E101" s="161">
        <v>7227</v>
      </c>
      <c r="F101" s="161">
        <f t="shared" si="16"/>
        <v>23994</v>
      </c>
      <c r="G101" s="162"/>
      <c r="H101" s="162">
        <v>19124</v>
      </c>
      <c r="I101" s="162">
        <v>4870</v>
      </c>
      <c r="J101" s="162"/>
      <c r="K101" s="162"/>
      <c r="L101" s="162"/>
      <c r="M101" s="161"/>
      <c r="N101" s="161"/>
      <c r="O101" s="161"/>
      <c r="P101" s="161"/>
      <c r="Q101" s="161"/>
    </row>
    <row r="102" spans="1:17" ht="30" customHeight="1">
      <c r="A102" s="164" t="s">
        <v>23</v>
      </c>
      <c r="B102" s="160">
        <f t="shared" si="17"/>
        <v>30032</v>
      </c>
      <c r="C102" s="168">
        <f t="shared" si="15"/>
        <v>14868</v>
      </c>
      <c r="D102" s="161">
        <v>12030</v>
      </c>
      <c r="E102" s="161">
        <v>2838</v>
      </c>
      <c r="F102" s="161">
        <f t="shared" si="16"/>
        <v>15164</v>
      </c>
      <c r="G102" s="162"/>
      <c r="H102" s="162">
        <v>9550</v>
      </c>
      <c r="I102" s="162">
        <v>5364</v>
      </c>
      <c r="J102" s="162"/>
      <c r="K102" s="162">
        <v>250</v>
      </c>
      <c r="L102" s="162"/>
      <c r="M102" s="161"/>
      <c r="N102" s="161"/>
      <c r="O102" s="161"/>
      <c r="P102" s="161"/>
      <c r="Q102" s="161"/>
    </row>
    <row r="103" spans="1:17" ht="30" customHeight="1">
      <c r="A103" s="164" t="s">
        <v>24</v>
      </c>
      <c r="B103" s="160">
        <f t="shared" si="17"/>
        <v>74396</v>
      </c>
      <c r="C103" s="168">
        <f t="shared" si="15"/>
        <v>62126</v>
      </c>
      <c r="D103" s="161">
        <v>50187</v>
      </c>
      <c r="E103" s="161">
        <v>11939</v>
      </c>
      <c r="F103" s="161">
        <f t="shared" si="16"/>
        <v>12270</v>
      </c>
      <c r="G103" s="162"/>
      <c r="H103" s="162">
        <v>6471</v>
      </c>
      <c r="I103" s="162">
        <v>5310</v>
      </c>
      <c r="J103" s="162"/>
      <c r="K103" s="162">
        <v>489</v>
      </c>
      <c r="L103" s="162"/>
      <c r="M103" s="161"/>
      <c r="N103" s="161"/>
      <c r="O103" s="161"/>
      <c r="P103" s="161"/>
      <c r="Q103" s="161"/>
    </row>
    <row r="104" spans="1:17" ht="15" customHeight="1">
      <c r="A104" s="164" t="s">
        <v>123</v>
      </c>
      <c r="B104" s="160">
        <f t="shared" si="17"/>
        <v>94432</v>
      </c>
      <c r="C104" s="168">
        <f t="shared" si="15"/>
        <v>42932</v>
      </c>
      <c r="D104" s="161">
        <v>34738</v>
      </c>
      <c r="E104" s="161">
        <v>8194</v>
      </c>
      <c r="F104" s="161">
        <f t="shared" si="16"/>
        <v>51500</v>
      </c>
      <c r="G104" s="162"/>
      <c r="H104" s="162">
        <v>50070</v>
      </c>
      <c r="I104" s="162">
        <v>1430</v>
      </c>
      <c r="J104" s="162"/>
      <c r="K104" s="162"/>
      <c r="L104" s="162"/>
      <c r="M104" s="161"/>
      <c r="N104" s="161"/>
      <c r="O104" s="161"/>
      <c r="P104" s="161"/>
      <c r="Q104" s="161"/>
    </row>
    <row r="105" spans="1:17" ht="30" customHeight="1">
      <c r="A105" s="169" t="s">
        <v>149</v>
      </c>
      <c r="B105" s="160">
        <f t="shared" si="17"/>
        <v>88259</v>
      </c>
      <c r="C105" s="170">
        <f t="shared" si="15"/>
        <v>64273</v>
      </c>
      <c r="D105" s="171">
        <v>52390</v>
      </c>
      <c r="E105" s="171">
        <v>11883</v>
      </c>
      <c r="F105" s="161">
        <f t="shared" si="16"/>
        <v>23986</v>
      </c>
      <c r="G105" s="162"/>
      <c r="H105" s="162">
        <v>9180</v>
      </c>
      <c r="I105" s="162">
        <v>14460</v>
      </c>
      <c r="J105" s="162"/>
      <c r="K105" s="162">
        <v>346</v>
      </c>
      <c r="L105" s="162"/>
      <c r="M105" s="161"/>
      <c r="N105" s="161"/>
      <c r="O105" s="172"/>
      <c r="P105" s="161"/>
      <c r="Q105" s="161"/>
    </row>
    <row r="106" spans="1:17" ht="30" customHeight="1">
      <c r="A106" s="164" t="s">
        <v>25</v>
      </c>
      <c r="B106" s="160">
        <f t="shared" si="17"/>
        <v>57160</v>
      </c>
      <c r="C106" s="168">
        <f t="shared" si="15"/>
        <v>41582</v>
      </c>
      <c r="D106" s="161">
        <v>33645</v>
      </c>
      <c r="E106" s="161">
        <v>7937</v>
      </c>
      <c r="F106" s="161">
        <f t="shared" si="16"/>
        <v>15578</v>
      </c>
      <c r="G106" s="162"/>
      <c r="H106" s="162">
        <v>4606</v>
      </c>
      <c r="I106" s="162">
        <v>10875</v>
      </c>
      <c r="J106" s="162"/>
      <c r="K106" s="162">
        <v>97</v>
      </c>
      <c r="L106" s="162"/>
      <c r="M106" s="161"/>
      <c r="N106" s="161"/>
      <c r="O106" s="161"/>
      <c r="P106" s="161"/>
      <c r="Q106" s="161"/>
    </row>
    <row r="107" spans="1:17" ht="15" customHeight="1">
      <c r="A107" s="164" t="s">
        <v>103</v>
      </c>
      <c r="B107" s="160">
        <f t="shared" si="17"/>
        <v>10119</v>
      </c>
      <c r="C107" s="168">
        <f t="shared" si="15"/>
        <v>7009</v>
      </c>
      <c r="D107" s="161">
        <f>4900+771</f>
        <v>5671</v>
      </c>
      <c r="E107" s="161">
        <v>1338</v>
      </c>
      <c r="F107" s="161">
        <f t="shared" si="16"/>
        <v>3110</v>
      </c>
      <c r="G107" s="162"/>
      <c r="H107" s="162">
        <v>2415</v>
      </c>
      <c r="I107" s="162">
        <v>630</v>
      </c>
      <c r="J107" s="162"/>
      <c r="K107" s="162">
        <v>65</v>
      </c>
      <c r="L107" s="162"/>
      <c r="M107" s="161"/>
      <c r="N107" s="161"/>
      <c r="O107" s="161"/>
      <c r="P107" s="161"/>
      <c r="Q107" s="161"/>
    </row>
    <row r="108" spans="1:17" ht="30" customHeight="1">
      <c r="A108" s="169" t="s">
        <v>150</v>
      </c>
      <c r="B108" s="160">
        <f t="shared" si="17"/>
        <v>158757</v>
      </c>
      <c r="C108" s="170">
        <f t="shared" si="15"/>
        <v>123357</v>
      </c>
      <c r="D108" s="171">
        <v>100065</v>
      </c>
      <c r="E108" s="171">
        <v>23292</v>
      </c>
      <c r="F108" s="161">
        <f t="shared" si="16"/>
        <v>35400</v>
      </c>
      <c r="G108" s="162"/>
      <c r="H108" s="162">
        <v>14050</v>
      </c>
      <c r="I108" s="162">
        <v>21050</v>
      </c>
      <c r="J108" s="162"/>
      <c r="K108" s="162">
        <v>300</v>
      </c>
      <c r="L108" s="162"/>
      <c r="M108" s="161"/>
      <c r="N108" s="161"/>
      <c r="O108" s="172"/>
      <c r="P108" s="161"/>
      <c r="Q108" s="161"/>
    </row>
    <row r="109" spans="1:17" ht="15" customHeight="1">
      <c r="A109" s="164" t="s">
        <v>126</v>
      </c>
      <c r="B109" s="160">
        <f t="shared" si="17"/>
        <v>7345</v>
      </c>
      <c r="C109" s="168">
        <f>D109+E109</f>
        <v>4701</v>
      </c>
      <c r="D109" s="161">
        <v>3804</v>
      </c>
      <c r="E109" s="161">
        <v>897</v>
      </c>
      <c r="F109" s="161">
        <f t="shared" si="16"/>
        <v>2644</v>
      </c>
      <c r="G109" s="162"/>
      <c r="H109" s="162">
        <v>2644</v>
      </c>
      <c r="I109" s="162"/>
      <c r="J109" s="162"/>
      <c r="K109" s="162"/>
      <c r="L109" s="162"/>
      <c r="M109" s="161"/>
      <c r="N109" s="161"/>
      <c r="O109" s="161"/>
      <c r="P109" s="161"/>
      <c r="Q109" s="161"/>
    </row>
    <row r="110" spans="1:17" ht="30" customHeight="1">
      <c r="A110" s="164" t="s">
        <v>26</v>
      </c>
      <c r="B110" s="160">
        <f t="shared" si="17"/>
        <v>117552</v>
      </c>
      <c r="C110" s="168">
        <f>D110+E110</f>
        <v>84306</v>
      </c>
      <c r="D110" s="161">
        <v>74223</v>
      </c>
      <c r="E110" s="161">
        <v>10083</v>
      </c>
      <c r="F110" s="161">
        <f t="shared" si="16"/>
        <v>33246</v>
      </c>
      <c r="G110" s="162"/>
      <c r="H110" s="162">
        <v>21576</v>
      </c>
      <c r="I110" s="162">
        <v>11460</v>
      </c>
      <c r="J110" s="162"/>
      <c r="K110" s="162">
        <v>210</v>
      </c>
      <c r="L110" s="162"/>
      <c r="M110" s="161"/>
      <c r="N110" s="161"/>
      <c r="O110" s="161">
        <v>0</v>
      </c>
      <c r="P110" s="161"/>
      <c r="Q110" s="161"/>
    </row>
    <row r="111" spans="1:17" ht="30" customHeight="1">
      <c r="A111" s="164" t="s">
        <v>27</v>
      </c>
      <c r="B111" s="160">
        <f>SUM(C111+F111,M111:Q111)</f>
        <v>45339</v>
      </c>
      <c r="C111" s="168">
        <f>D111+E111</f>
        <v>38856</v>
      </c>
      <c r="D111" s="161">
        <v>31440</v>
      </c>
      <c r="E111" s="161">
        <v>7416</v>
      </c>
      <c r="F111" s="161">
        <f t="shared" si="16"/>
        <v>6483</v>
      </c>
      <c r="G111" s="162"/>
      <c r="H111" s="162">
        <v>3693</v>
      </c>
      <c r="I111" s="162">
        <v>2550</v>
      </c>
      <c r="J111" s="162"/>
      <c r="K111" s="162">
        <v>240</v>
      </c>
      <c r="L111" s="162"/>
      <c r="M111" s="161"/>
      <c r="N111" s="161"/>
      <c r="O111" s="161"/>
      <c r="P111" s="161"/>
      <c r="Q111" s="161"/>
    </row>
    <row r="112" spans="1:17" ht="30" customHeight="1">
      <c r="A112" s="164" t="s">
        <v>199</v>
      </c>
      <c r="B112" s="160">
        <f t="shared" si="17"/>
        <v>42660</v>
      </c>
      <c r="C112" s="168"/>
      <c r="D112" s="161"/>
      <c r="E112" s="161"/>
      <c r="F112" s="161">
        <f t="shared" si="16"/>
        <v>4300</v>
      </c>
      <c r="G112" s="162"/>
      <c r="H112" s="162">
        <v>1422</v>
      </c>
      <c r="I112" s="162">
        <v>2798</v>
      </c>
      <c r="J112" s="162"/>
      <c r="K112" s="162">
        <v>80</v>
      </c>
      <c r="L112" s="162"/>
      <c r="M112" s="161"/>
      <c r="N112" s="161"/>
      <c r="O112" s="161">
        <v>38360</v>
      </c>
      <c r="P112" s="161"/>
      <c r="Q112" s="161"/>
    </row>
    <row r="113" spans="1:17" ht="27" customHeight="1">
      <c r="A113" s="164" t="s">
        <v>28</v>
      </c>
      <c r="B113" s="160">
        <f t="shared" si="17"/>
        <v>102881</v>
      </c>
      <c r="C113" s="168">
        <f>D113+E113</f>
        <v>81138</v>
      </c>
      <c r="D113" s="161">
        <v>65570</v>
      </c>
      <c r="E113" s="161">
        <v>15568</v>
      </c>
      <c r="F113" s="161">
        <f t="shared" si="16"/>
        <v>19243</v>
      </c>
      <c r="G113" s="162"/>
      <c r="H113" s="162">
        <v>5054</v>
      </c>
      <c r="I113" s="162">
        <v>13989</v>
      </c>
      <c r="J113" s="162"/>
      <c r="K113" s="162">
        <v>200</v>
      </c>
      <c r="L113" s="162"/>
      <c r="M113" s="161"/>
      <c r="N113" s="161"/>
      <c r="O113" s="161">
        <v>2500</v>
      </c>
      <c r="P113" s="161"/>
      <c r="Q113" s="161"/>
    </row>
    <row r="114" spans="1:17" ht="15" customHeight="1">
      <c r="A114" s="164" t="s">
        <v>29</v>
      </c>
      <c r="B114" s="160">
        <f>SUM(C114+F114,M114:Q114)</f>
        <v>1764345</v>
      </c>
      <c r="C114" s="161">
        <f>D114+E114</f>
        <v>752614</v>
      </c>
      <c r="D114" s="161">
        <f>59537+114472+79247+119130+196389+18550</f>
        <v>587325</v>
      </c>
      <c r="E114" s="161">
        <f>17066+32425+22202+34840+53441+5315</f>
        <v>165289</v>
      </c>
      <c r="F114" s="161">
        <f>SUM(G114:K114)</f>
        <v>977631</v>
      </c>
      <c r="G114" s="162">
        <f>8+200</f>
        <v>208</v>
      </c>
      <c r="H114" s="162">
        <v>585118</v>
      </c>
      <c r="I114" s="162">
        <f>13450+14990+11710+10425+67535+251</f>
        <v>118361</v>
      </c>
      <c r="J114" s="162"/>
      <c r="K114" s="162">
        <f>52500+3144+50400+39200+128200+500</f>
        <v>273944</v>
      </c>
      <c r="L114" s="162"/>
      <c r="M114" s="161"/>
      <c r="N114" s="161"/>
      <c r="O114" s="161">
        <v>34100</v>
      </c>
      <c r="P114" s="161"/>
      <c r="Q114" s="161"/>
    </row>
    <row r="115" spans="1:17" ht="30" customHeight="1">
      <c r="A115" s="164" t="s">
        <v>183</v>
      </c>
      <c r="B115" s="160">
        <f>SUM(C115+F115,M115:Q115)</f>
        <v>33120</v>
      </c>
      <c r="C115" s="161"/>
      <c r="D115" s="161"/>
      <c r="E115" s="161"/>
      <c r="F115" s="161">
        <f>SUM(G115:K115)</f>
        <v>33120</v>
      </c>
      <c r="G115" s="162"/>
      <c r="H115" s="162">
        <v>30620</v>
      </c>
      <c r="I115" s="162">
        <v>2500</v>
      </c>
      <c r="J115" s="162"/>
      <c r="K115" s="162"/>
      <c r="L115" s="162"/>
      <c r="M115" s="161"/>
      <c r="N115" s="161"/>
      <c r="O115" s="161"/>
      <c r="P115" s="161"/>
      <c r="Q115" s="161"/>
    </row>
    <row r="116" spans="1:17" ht="30" customHeight="1">
      <c r="A116" s="164" t="s">
        <v>121</v>
      </c>
      <c r="B116" s="160">
        <f t="shared" si="18" ref="B116:B135">=SUM(C116+F116,M116:Q116)</f>
        <v>7500</v>
      </c>
      <c r="C116" s="161"/>
      <c r="D116" s="161"/>
      <c r="E116" s="161"/>
      <c r="F116" s="161">
        <f t="shared" si="19" ref="F116:F148">=SUM(G116:K116)</f>
        <v>7500</v>
      </c>
      <c r="G116" s="162"/>
      <c r="H116" s="162">
        <v>7500</v>
      </c>
      <c r="I116" s="162"/>
      <c r="J116" s="162"/>
      <c r="K116" s="162"/>
      <c r="L116" s="162"/>
      <c r="M116" s="161"/>
      <c r="N116" s="161"/>
      <c r="O116" s="161"/>
      <c r="P116" s="161"/>
      <c r="Q116" s="161"/>
    </row>
    <row r="117" spans="1:17" ht="30" customHeight="1">
      <c r="A117" s="164" t="s">
        <v>127</v>
      </c>
      <c r="B117" s="160">
        <f t="shared" si="18"/>
        <v>1000</v>
      </c>
      <c r="C117" s="161"/>
      <c r="D117" s="161"/>
      <c r="E117" s="161"/>
      <c r="F117" s="161">
        <f t="shared" si="19"/>
        <v>1000</v>
      </c>
      <c r="G117" s="162"/>
      <c r="H117" s="162">
        <v>500</v>
      </c>
      <c r="I117" s="162">
        <v>500</v>
      </c>
      <c r="J117" s="162"/>
      <c r="K117" s="162"/>
      <c r="L117" s="162"/>
      <c r="M117" s="161"/>
      <c r="N117" s="161"/>
      <c r="O117" s="161"/>
      <c r="P117" s="161"/>
      <c r="Q117" s="161"/>
    </row>
    <row r="118" spans="1:17" ht="30" customHeight="1">
      <c r="A118" s="164" t="s">
        <v>122</v>
      </c>
      <c r="B118" s="160">
        <f t="shared" si="18"/>
        <v>9827</v>
      </c>
      <c r="C118" s="161"/>
      <c r="D118" s="161"/>
      <c r="E118" s="161"/>
      <c r="F118" s="161">
        <f t="shared" si="19"/>
        <v>9827</v>
      </c>
      <c r="G118" s="162"/>
      <c r="H118" s="162">
        <v>3736</v>
      </c>
      <c r="I118" s="162">
        <v>6091</v>
      </c>
      <c r="J118" s="162"/>
      <c r="K118" s="162"/>
      <c r="L118" s="162"/>
      <c r="M118" s="161"/>
      <c r="N118" s="161"/>
      <c r="O118" s="161"/>
      <c r="P118" s="161"/>
      <c r="Q118" s="161"/>
    </row>
    <row r="119" spans="1:17" ht="30" customHeight="1">
      <c r="A119" s="167" t="s">
        <v>124</v>
      </c>
      <c r="B119" s="160">
        <f t="shared" si="18"/>
        <v>3200</v>
      </c>
      <c r="C119" s="161"/>
      <c r="D119" s="161"/>
      <c r="E119" s="161"/>
      <c r="F119" s="161">
        <f t="shared" si="19"/>
        <v>3200</v>
      </c>
      <c r="G119" s="162"/>
      <c r="H119" s="162">
        <v>1179</v>
      </c>
      <c r="I119" s="162">
        <v>2021</v>
      </c>
      <c r="J119" s="162"/>
      <c r="K119" s="162"/>
      <c r="L119" s="162"/>
      <c r="M119" s="161"/>
      <c r="N119" s="161"/>
      <c r="O119" s="161"/>
      <c r="P119" s="161"/>
      <c r="Q119" s="161"/>
    </row>
    <row r="120" spans="1:17" ht="24" customHeight="1">
      <c r="A120" s="167" t="s">
        <v>753</v>
      </c>
      <c r="B120" s="160">
        <f t="shared" si="18"/>
        <v>367431</v>
      </c>
      <c r="C120" s="161">
        <f t="shared" si="20" ref="C120:C134">=D120+E120</f>
        <v>258155</v>
      </c>
      <c r="D120" s="161">
        <v>208880</v>
      </c>
      <c r="E120" s="161">
        <v>49275</v>
      </c>
      <c r="F120" s="161">
        <f>SUM(G120:L120)</f>
        <v>105276</v>
      </c>
      <c r="G120" s="162"/>
      <c r="H120" s="162">
        <v>53730</v>
      </c>
      <c r="I120" s="162">
        <v>51546</v>
      </c>
      <c r="J120" s="162"/>
      <c r="K120" s="162"/>
      <c r="L120" s="162"/>
      <c r="M120" s="161"/>
      <c r="N120" s="161"/>
      <c r="O120" s="161">
        <v>4000</v>
      </c>
      <c r="P120" s="161"/>
      <c r="Q120" s="161"/>
    </row>
    <row r="121" spans="1:17" ht="30" customHeight="1">
      <c r="A121" s="164" t="s">
        <v>215</v>
      </c>
      <c r="B121" s="160">
        <f t="shared" si="18"/>
        <v>118153</v>
      </c>
      <c r="C121" s="161">
        <f t="shared" si="20"/>
        <v>90240</v>
      </c>
      <c r="D121" s="161">
        <v>74057</v>
      </c>
      <c r="E121" s="161">
        <v>16183</v>
      </c>
      <c r="F121" s="161">
        <f t="shared" si="19"/>
        <v>27913</v>
      </c>
      <c r="G121" s="162"/>
      <c r="H121" s="162">
        <v>8421</v>
      </c>
      <c r="I121" s="162">
        <v>19142</v>
      </c>
      <c r="J121" s="162"/>
      <c r="K121" s="162">
        <v>350</v>
      </c>
      <c r="L121" s="162"/>
      <c r="M121" s="161"/>
      <c r="N121" s="161"/>
      <c r="O121" s="161"/>
      <c r="P121" s="161"/>
      <c r="Q121" s="161"/>
    </row>
    <row r="122" spans="1:17" ht="30" customHeight="1">
      <c r="A122" s="164" t="s">
        <v>107</v>
      </c>
      <c r="B122" s="160">
        <f t="shared" si="18"/>
        <v>16115</v>
      </c>
      <c r="C122" s="161">
        <f t="shared" si="20"/>
        <v>14156</v>
      </c>
      <c r="D122" s="161">
        <v>11574</v>
      </c>
      <c r="E122" s="161">
        <v>2582</v>
      </c>
      <c r="F122" s="161">
        <f t="shared" si="19"/>
        <v>1959</v>
      </c>
      <c r="G122" s="162"/>
      <c r="H122" s="162">
        <v>787</v>
      </c>
      <c r="I122" s="162">
        <v>1172</v>
      </c>
      <c r="J122" s="162"/>
      <c r="K122" s="162"/>
      <c r="L122" s="162"/>
      <c r="M122" s="161"/>
      <c r="N122" s="161"/>
      <c r="O122" s="161"/>
      <c r="P122" s="161"/>
      <c r="Q122" s="161"/>
    </row>
    <row r="123" spans="1:17" ht="30" customHeight="1">
      <c r="A123" s="164" t="s">
        <v>102</v>
      </c>
      <c r="B123" s="160">
        <f t="shared" si="18"/>
        <v>16093</v>
      </c>
      <c r="C123" s="161">
        <f t="shared" si="20"/>
        <v>12977</v>
      </c>
      <c r="D123" s="161">
        <v>10500</v>
      </c>
      <c r="E123" s="161">
        <v>2477</v>
      </c>
      <c r="F123" s="161">
        <f t="shared" si="19"/>
        <v>3116</v>
      </c>
      <c r="G123" s="162"/>
      <c r="H123" s="162">
        <v>570</v>
      </c>
      <c r="I123" s="162">
        <v>2546</v>
      </c>
      <c r="J123" s="162"/>
      <c r="K123" s="162"/>
      <c r="L123" s="162"/>
      <c r="M123" s="161"/>
      <c r="N123" s="161"/>
      <c r="O123" s="161"/>
      <c r="P123" s="161"/>
      <c r="Q123" s="161"/>
    </row>
    <row r="124" spans="1:17" ht="30" customHeight="1">
      <c r="A124" s="164" t="s">
        <v>109</v>
      </c>
      <c r="B124" s="160">
        <f t="shared" si="18"/>
        <v>17783</v>
      </c>
      <c r="C124" s="161">
        <f t="shared" si="20"/>
        <v>13181</v>
      </c>
      <c r="D124" s="161">
        <v>10665</v>
      </c>
      <c r="E124" s="161">
        <v>2516</v>
      </c>
      <c r="F124" s="161">
        <f t="shared" si="19"/>
        <v>4602</v>
      </c>
      <c r="G124" s="162"/>
      <c r="H124" s="162">
        <v>367</v>
      </c>
      <c r="I124" s="162">
        <v>4235</v>
      </c>
      <c r="J124" s="162"/>
      <c r="K124" s="162"/>
      <c r="L124" s="162"/>
      <c r="M124" s="161"/>
      <c r="N124" s="161"/>
      <c r="O124" s="161">
        <v>0</v>
      </c>
      <c r="P124" s="161"/>
      <c r="Q124" s="161"/>
    </row>
    <row r="125" spans="1:17" ht="30" customHeight="1">
      <c r="A125" s="164" t="s">
        <v>117</v>
      </c>
      <c r="B125" s="160">
        <f t="shared" si="18"/>
        <v>19011</v>
      </c>
      <c r="C125" s="161">
        <f t="shared" si="20"/>
        <v>16437</v>
      </c>
      <c r="D125" s="161">
        <v>13300</v>
      </c>
      <c r="E125" s="161">
        <v>3137</v>
      </c>
      <c r="F125" s="161">
        <f t="shared" si="19"/>
        <v>2574</v>
      </c>
      <c r="G125" s="162"/>
      <c r="H125" s="162">
        <v>700</v>
      </c>
      <c r="I125" s="162">
        <v>1874</v>
      </c>
      <c r="J125" s="162"/>
      <c r="K125" s="162"/>
      <c r="L125" s="162"/>
      <c r="M125" s="161"/>
      <c r="N125" s="161"/>
      <c r="O125" s="161"/>
      <c r="P125" s="161"/>
      <c r="Q125" s="161"/>
    </row>
    <row r="126" spans="1:17" ht="30" customHeight="1">
      <c r="A126" s="164" t="s">
        <v>119</v>
      </c>
      <c r="B126" s="160">
        <f t="shared" si="18"/>
        <v>24027</v>
      </c>
      <c r="C126" s="161">
        <f t="shared" si="20"/>
        <v>18031</v>
      </c>
      <c r="D126" s="161">
        <v>14590</v>
      </c>
      <c r="E126" s="161">
        <v>3441</v>
      </c>
      <c r="F126" s="161">
        <f t="shared" si="19"/>
        <v>5996</v>
      </c>
      <c r="G126" s="162"/>
      <c r="H126" s="162">
        <v>1550</v>
      </c>
      <c r="I126" s="162">
        <v>4446</v>
      </c>
      <c r="J126" s="162"/>
      <c r="K126" s="162"/>
      <c r="L126" s="162"/>
      <c r="M126" s="161"/>
      <c r="N126" s="161"/>
      <c r="O126" s="161"/>
      <c r="P126" s="161"/>
      <c r="Q126" s="161"/>
    </row>
    <row r="127" spans="1:17" ht="20.25" customHeight="1">
      <c r="A127" s="164" t="s">
        <v>125</v>
      </c>
      <c r="B127" s="160">
        <f t="shared" si="18"/>
        <v>207318</v>
      </c>
      <c r="C127" s="161">
        <f t="shared" si="20"/>
        <v>172361</v>
      </c>
      <c r="D127" s="161">
        <v>139462</v>
      </c>
      <c r="E127" s="161">
        <v>32899</v>
      </c>
      <c r="F127" s="161">
        <f t="shared" si="19"/>
        <v>34957</v>
      </c>
      <c r="G127" s="162"/>
      <c r="H127" s="162">
        <v>14166</v>
      </c>
      <c r="I127" s="162">
        <v>20791</v>
      </c>
      <c r="J127" s="162"/>
      <c r="K127" s="162"/>
      <c r="L127" s="162"/>
      <c r="M127" s="161"/>
      <c r="N127" s="161"/>
      <c r="O127" s="161"/>
      <c r="P127" s="161"/>
      <c r="Q127" s="161"/>
    </row>
    <row r="128" spans="1:17" ht="30" customHeight="1">
      <c r="A128" s="164" t="s">
        <v>250</v>
      </c>
      <c r="B128" s="160">
        <f t="shared" si="18"/>
        <v>67747</v>
      </c>
      <c r="C128" s="161">
        <f t="shared" si="20"/>
        <v>33448</v>
      </c>
      <c r="D128" s="161">
        <f>22680+2786+1598</f>
        <v>27064</v>
      </c>
      <c r="E128" s="161">
        <f>6384</f>
        <v>6384</v>
      </c>
      <c r="F128" s="161">
        <f t="shared" si="19"/>
        <v>34299</v>
      </c>
      <c r="G128" s="162"/>
      <c r="H128" s="162">
        <v>1541</v>
      </c>
      <c r="I128" s="162">
        <v>32758</v>
      </c>
      <c r="J128" s="162"/>
      <c r="K128" s="162"/>
      <c r="L128" s="162"/>
      <c r="M128" s="161"/>
      <c r="N128" s="161"/>
      <c r="O128" s="161"/>
      <c r="P128" s="161"/>
      <c r="Q128" s="161"/>
    </row>
    <row r="129" spans="1:17" ht="30" customHeight="1">
      <c r="A129" s="164" t="s">
        <v>114</v>
      </c>
      <c r="B129" s="160">
        <f t="shared" si="18"/>
        <v>104586</v>
      </c>
      <c r="C129" s="161">
        <f t="shared" si="20"/>
        <v>32606</v>
      </c>
      <c r="D129" s="161">
        <f>22400+3422+1542</f>
        <v>27364</v>
      </c>
      <c r="E129" s="161">
        <v>5242</v>
      </c>
      <c r="F129" s="161">
        <f t="shared" si="19"/>
        <v>71980</v>
      </c>
      <c r="G129" s="162"/>
      <c r="H129" s="162">
        <v>7774</v>
      </c>
      <c r="I129" s="162">
        <v>63406</v>
      </c>
      <c r="J129" s="162"/>
      <c r="K129" s="162">
        <v>800</v>
      </c>
      <c r="L129" s="162"/>
      <c r="M129" s="161"/>
      <c r="N129" s="161"/>
      <c r="O129" s="161"/>
      <c r="P129" s="161"/>
      <c r="Q129" s="161"/>
    </row>
    <row r="130" spans="1:17" ht="30" customHeight="1">
      <c r="A130" s="164" t="s">
        <v>111</v>
      </c>
      <c r="B130" s="160">
        <f t="shared" si="18"/>
        <v>45604</v>
      </c>
      <c r="C130" s="161">
        <f t="shared" si="20"/>
        <v>34394</v>
      </c>
      <c r="D130" s="161">
        <f>22400+3887+1542</f>
        <v>27829</v>
      </c>
      <c r="E130" s="161">
        <v>6565</v>
      </c>
      <c r="F130" s="161">
        <f t="shared" si="19"/>
        <v>11210</v>
      </c>
      <c r="G130" s="162"/>
      <c r="H130" s="162">
        <v>0</v>
      </c>
      <c r="I130" s="162">
        <v>10910</v>
      </c>
      <c r="J130" s="162"/>
      <c r="K130" s="162">
        <v>300</v>
      </c>
      <c r="L130" s="162"/>
      <c r="M130" s="161"/>
      <c r="N130" s="161"/>
      <c r="O130" s="161"/>
      <c r="P130" s="161"/>
      <c r="Q130" s="161"/>
    </row>
    <row r="131" spans="1:17" ht="30" customHeight="1">
      <c r="A131" s="164" t="s">
        <v>259</v>
      </c>
      <c r="B131" s="160">
        <f t="shared" si="18"/>
        <v>58664</v>
      </c>
      <c r="C131" s="161">
        <f t="shared" si="20"/>
        <v>34089</v>
      </c>
      <c r="D131" s="161">
        <f>22694+4888</f>
        <v>27582</v>
      </c>
      <c r="E131" s="161">
        <v>6507</v>
      </c>
      <c r="F131" s="161">
        <f t="shared" si="19"/>
        <v>24575</v>
      </c>
      <c r="G131" s="162"/>
      <c r="H131" s="162">
        <v>6325</v>
      </c>
      <c r="I131" s="162">
        <v>17620</v>
      </c>
      <c r="J131" s="162"/>
      <c r="K131" s="162">
        <v>630</v>
      </c>
      <c r="L131" s="162"/>
      <c r="M131" s="161"/>
      <c r="N131" s="161"/>
      <c r="O131" s="161"/>
      <c r="P131" s="161"/>
      <c r="Q131" s="161"/>
    </row>
    <row r="132" spans="1:17" ht="30" customHeight="1">
      <c r="A132" s="164" t="s">
        <v>116</v>
      </c>
      <c r="B132" s="160">
        <f t="shared" si="18"/>
        <v>31471</v>
      </c>
      <c r="C132" s="161">
        <f t="shared" si="20"/>
        <v>24323</v>
      </c>
      <c r="D132" s="161">
        <f>14700+3442+1542</f>
        <v>19684</v>
      </c>
      <c r="E132" s="161">
        <v>4639</v>
      </c>
      <c r="F132" s="161">
        <f t="shared" si="19"/>
        <v>7148</v>
      </c>
      <c r="G132" s="162"/>
      <c r="H132" s="162">
        <v>1795</v>
      </c>
      <c r="I132" s="162">
        <v>5103</v>
      </c>
      <c r="J132" s="162"/>
      <c r="K132" s="162">
        <v>250</v>
      </c>
      <c r="L132" s="162"/>
      <c r="M132" s="161"/>
      <c r="N132" s="161"/>
      <c r="O132" s="161"/>
      <c r="P132" s="161"/>
      <c r="Q132" s="161"/>
    </row>
    <row r="133" spans="1:17" ht="30" customHeight="1">
      <c r="A133" s="164" t="s">
        <v>104</v>
      </c>
      <c r="B133" s="160">
        <f t="shared" si="18"/>
        <v>84365</v>
      </c>
      <c r="C133" s="161">
        <f t="shared" si="20"/>
        <v>30359</v>
      </c>
      <c r="D133" s="161">
        <f>19600+3422+1542</f>
        <v>24564</v>
      </c>
      <c r="E133" s="161">
        <v>5795</v>
      </c>
      <c r="F133" s="161">
        <f t="shared" si="19"/>
        <v>54006</v>
      </c>
      <c r="G133" s="162"/>
      <c r="H133" s="162">
        <v>2854</v>
      </c>
      <c r="I133" s="162">
        <v>50702</v>
      </c>
      <c r="J133" s="162"/>
      <c r="K133" s="162">
        <v>450</v>
      </c>
      <c r="L133" s="162"/>
      <c r="M133" s="161"/>
      <c r="N133" s="161"/>
      <c r="O133" s="161"/>
      <c r="P133" s="161"/>
      <c r="Q133" s="161"/>
    </row>
    <row r="134" spans="1:17" ht="30" customHeight="1">
      <c r="A134" s="164" t="s">
        <v>106</v>
      </c>
      <c r="B134" s="160">
        <f t="shared" si="18"/>
        <v>103530</v>
      </c>
      <c r="C134" s="161">
        <f t="shared" si="20"/>
        <v>34871</v>
      </c>
      <c r="D134" s="161">
        <f>22400+3887+1928</f>
        <v>28215</v>
      </c>
      <c r="E134" s="161">
        <v>6656</v>
      </c>
      <c r="F134" s="161">
        <f t="shared" si="19"/>
        <v>68659</v>
      </c>
      <c r="G134" s="162"/>
      <c r="H134" s="162">
        <v>8024</v>
      </c>
      <c r="I134" s="162">
        <v>60035</v>
      </c>
      <c r="J134" s="162"/>
      <c r="K134" s="162">
        <v>600</v>
      </c>
      <c r="L134" s="162"/>
      <c r="M134" s="161"/>
      <c r="N134" s="161"/>
      <c r="O134" s="161"/>
      <c r="P134" s="161"/>
      <c r="Q134" s="161"/>
    </row>
    <row r="135" spans="1:17" ht="19.9" customHeight="1">
      <c r="A135" s="163" t="s">
        <v>205</v>
      </c>
      <c r="B135" s="160">
        <f t="shared" si="18"/>
        <v>2840</v>
      </c>
      <c r="C135" s="161"/>
      <c r="D135" s="161"/>
      <c r="E135" s="161"/>
      <c r="F135" s="161">
        <f t="shared" si="19"/>
        <v>2840</v>
      </c>
      <c r="G135" s="162"/>
      <c r="H135" s="162">
        <v>2300</v>
      </c>
      <c r="I135" s="162">
        <v>340</v>
      </c>
      <c r="J135" s="162"/>
      <c r="K135" s="162">
        <v>200</v>
      </c>
      <c r="L135" s="162"/>
      <c r="M135" s="161"/>
      <c r="N135" s="161"/>
      <c r="O135" s="161"/>
      <c r="P135" s="161"/>
      <c r="Q135" s="161"/>
    </row>
    <row r="136" spans="1:17" ht="15" customHeight="1">
      <c r="A136" s="163" t="s">
        <v>204</v>
      </c>
      <c r="B136" s="160">
        <f>SUM(C136:F136,M136:Q136)</f>
        <v>17383</v>
      </c>
      <c r="C136" s="161"/>
      <c r="D136" s="161"/>
      <c r="E136" s="161"/>
      <c r="F136" s="161">
        <f t="shared" si="19"/>
        <v>17383</v>
      </c>
      <c r="G136" s="162"/>
      <c r="H136" s="162">
        <v>13729</v>
      </c>
      <c r="I136" s="162">
        <v>3654</v>
      </c>
      <c r="J136" s="162"/>
      <c r="K136" s="162"/>
      <c r="L136" s="162"/>
      <c r="M136" s="161"/>
      <c r="N136" s="161"/>
      <c r="O136" s="161"/>
      <c r="P136" s="161"/>
      <c r="Q136" s="161"/>
    </row>
    <row r="137" spans="1:17" ht="30" customHeight="1">
      <c r="A137" s="164" t="s">
        <v>724</v>
      </c>
      <c r="B137" s="160">
        <f>SUM(C137+F137,M137:Q137)</f>
        <v>4294</v>
      </c>
      <c r="C137" s="161"/>
      <c r="D137" s="161"/>
      <c r="E137" s="161"/>
      <c r="F137" s="161">
        <f t="shared" si="19"/>
        <v>4294</v>
      </c>
      <c r="G137" s="162"/>
      <c r="H137" s="162">
        <v>4094</v>
      </c>
      <c r="I137" s="162"/>
      <c r="J137" s="162"/>
      <c r="K137" s="162">
        <v>200</v>
      </c>
      <c r="L137" s="162"/>
      <c r="M137" s="161"/>
      <c r="N137" s="161"/>
      <c r="O137" s="161"/>
      <c r="P137" s="161"/>
      <c r="Q137" s="161"/>
    </row>
    <row r="138" spans="1:17" ht="30" customHeight="1">
      <c r="A138" s="164" t="s">
        <v>257</v>
      </c>
      <c r="B138" s="160">
        <f>SUM(C138+F138,M138:Q138)</f>
        <v>4649</v>
      </c>
      <c r="C138" s="161"/>
      <c r="D138" s="161"/>
      <c r="E138" s="161"/>
      <c r="F138" s="161">
        <f t="shared" si="19"/>
        <v>4649</v>
      </c>
      <c r="G138" s="162"/>
      <c r="H138" s="162">
        <v>4299</v>
      </c>
      <c r="I138" s="162">
        <v>350</v>
      </c>
      <c r="J138" s="162"/>
      <c r="K138" s="162"/>
      <c r="L138" s="162"/>
      <c r="M138" s="161"/>
      <c r="N138" s="161"/>
      <c r="O138" s="161"/>
      <c r="P138" s="161"/>
      <c r="Q138" s="161"/>
    </row>
    <row r="139" spans="1:17" ht="30" customHeight="1">
      <c r="A139" s="164" t="s">
        <v>725</v>
      </c>
      <c r="B139" s="160">
        <f>SUM(C139+F139,M139:Q139)</f>
        <v>3136</v>
      </c>
      <c r="C139" s="161">
        <v>0</v>
      </c>
      <c r="D139" s="161"/>
      <c r="E139" s="161"/>
      <c r="F139" s="161">
        <f t="shared" si="19"/>
        <v>3136</v>
      </c>
      <c r="G139" s="162"/>
      <c r="H139" s="162">
        <v>2216</v>
      </c>
      <c r="I139" s="162">
        <v>700</v>
      </c>
      <c r="J139" s="162"/>
      <c r="K139" s="162">
        <v>220</v>
      </c>
      <c r="L139" s="162"/>
      <c r="M139" s="161"/>
      <c r="N139" s="161"/>
      <c r="O139" s="161"/>
      <c r="P139" s="161"/>
      <c r="Q139" s="161"/>
    </row>
    <row r="140" spans="1:17" ht="30" customHeight="1">
      <c r="A140" s="167" t="s">
        <v>249</v>
      </c>
      <c r="B140" s="160">
        <f>SUM(C140:F140,M140:Q140)</f>
        <v>6101</v>
      </c>
      <c r="C140" s="161"/>
      <c r="D140" s="161"/>
      <c r="E140" s="161"/>
      <c r="F140" s="161">
        <f t="shared" si="19"/>
        <v>6101</v>
      </c>
      <c r="G140" s="162"/>
      <c r="H140" s="162">
        <v>3201</v>
      </c>
      <c r="I140" s="162">
        <v>2900</v>
      </c>
      <c r="J140" s="162"/>
      <c r="K140" s="162"/>
      <c r="L140" s="162"/>
      <c r="M140" s="161"/>
      <c r="N140" s="161"/>
      <c r="O140" s="161"/>
      <c r="P140" s="161"/>
      <c r="Q140" s="161"/>
    </row>
    <row r="141" spans="1:17" ht="30" customHeight="1">
      <c r="A141" s="167" t="s">
        <v>252</v>
      </c>
      <c r="B141" s="160">
        <f>SUM(C141+F141,M141:Q141)</f>
        <v>5348</v>
      </c>
      <c r="C141" s="161"/>
      <c r="D141" s="161"/>
      <c r="E141" s="161"/>
      <c r="F141" s="161">
        <f t="shared" si="19"/>
        <v>5348</v>
      </c>
      <c r="G141" s="162"/>
      <c r="H141" s="162">
        <v>4898</v>
      </c>
      <c r="I141" s="162">
        <v>20</v>
      </c>
      <c r="J141" s="162"/>
      <c r="K141" s="162">
        <v>430</v>
      </c>
      <c r="L141" s="162"/>
      <c r="M141" s="161"/>
      <c r="N141" s="161"/>
      <c r="O141" s="161"/>
      <c r="P141" s="161"/>
      <c r="Q141" s="161"/>
    </row>
    <row r="142" spans="1:17" ht="30" customHeight="1">
      <c r="A142" s="167" t="s">
        <v>115</v>
      </c>
      <c r="B142" s="160">
        <f>SUM(C142+F142,M142:Q142)</f>
        <v>5000</v>
      </c>
      <c r="C142" s="161">
        <f>D142+E142</f>
        <v>0</v>
      </c>
      <c r="D142" s="161"/>
      <c r="E142" s="161"/>
      <c r="F142" s="161">
        <f t="shared" si="19"/>
        <v>5000</v>
      </c>
      <c r="G142" s="162"/>
      <c r="H142" s="162">
        <v>3850</v>
      </c>
      <c r="I142" s="162">
        <v>700</v>
      </c>
      <c r="J142" s="162"/>
      <c r="K142" s="162">
        <v>450</v>
      </c>
      <c r="L142" s="162"/>
      <c r="M142" s="161"/>
      <c r="N142" s="161"/>
      <c r="O142" s="161"/>
      <c r="P142" s="161"/>
      <c r="Q142" s="161"/>
    </row>
    <row r="143" spans="1:17" ht="23.25" customHeight="1">
      <c r="A143" s="173" t="s">
        <v>151</v>
      </c>
      <c r="B143" s="160">
        <f>SUM(C143+F143,M143:Q143)</f>
        <v>5600</v>
      </c>
      <c r="C143" s="174"/>
      <c r="D143" s="175"/>
      <c r="E143" s="175"/>
      <c r="F143" s="161">
        <f t="shared" si="19"/>
        <v>5600</v>
      </c>
      <c r="G143" s="162"/>
      <c r="H143" s="162">
        <v>4600</v>
      </c>
      <c r="I143" s="162">
        <v>1000</v>
      </c>
      <c r="J143" s="162"/>
      <c r="K143" s="162"/>
      <c r="L143" s="162"/>
      <c r="M143" s="161"/>
      <c r="N143" s="161"/>
      <c r="O143" s="172"/>
      <c r="P143" s="161"/>
      <c r="Q143" s="161"/>
    </row>
    <row r="144" spans="1:17" ht="30" customHeight="1">
      <c r="A144" s="167" t="s">
        <v>726</v>
      </c>
      <c r="B144" s="160">
        <f>SUM(C144:F144,M144:Q144)</f>
        <v>3193</v>
      </c>
      <c r="C144" s="171"/>
      <c r="D144" s="171"/>
      <c r="E144" s="171"/>
      <c r="F144" s="161">
        <f t="shared" si="19"/>
        <v>3193</v>
      </c>
      <c r="G144" s="162"/>
      <c r="H144" s="162">
        <v>2930</v>
      </c>
      <c r="I144" s="162">
        <v>203</v>
      </c>
      <c r="J144" s="162"/>
      <c r="K144" s="162">
        <v>60</v>
      </c>
      <c r="L144" s="162"/>
      <c r="M144" s="161"/>
      <c r="N144" s="161"/>
      <c r="O144" s="176"/>
      <c r="P144" s="161"/>
      <c r="Q144" s="161"/>
    </row>
    <row r="145" spans="1:17" ht="30" customHeight="1">
      <c r="A145" s="167" t="s">
        <v>108</v>
      </c>
      <c r="B145" s="160">
        <f t="shared" si="21" ref="B145:B153">=SUM(C145+F145,M145:Q145)</f>
        <v>7036</v>
      </c>
      <c r="C145" s="161"/>
      <c r="D145" s="161"/>
      <c r="E145" s="161"/>
      <c r="F145" s="161">
        <f t="shared" si="19"/>
        <v>5436</v>
      </c>
      <c r="G145" s="162"/>
      <c r="H145" s="162">
        <v>4953</v>
      </c>
      <c r="I145" s="162">
        <v>260</v>
      </c>
      <c r="J145" s="162"/>
      <c r="K145" s="162">
        <v>223</v>
      </c>
      <c r="L145" s="162"/>
      <c r="M145" s="161"/>
      <c r="N145" s="161"/>
      <c r="O145" s="161">
        <v>1600</v>
      </c>
      <c r="P145" s="161"/>
      <c r="Q145" s="161"/>
    </row>
    <row r="146" spans="1:17" ht="30" customHeight="1">
      <c r="A146" s="167" t="s">
        <v>112</v>
      </c>
      <c r="B146" s="160">
        <f t="shared" si="21"/>
        <v>2977</v>
      </c>
      <c r="C146" s="161"/>
      <c r="D146" s="161"/>
      <c r="E146" s="161"/>
      <c r="F146" s="161">
        <f t="shared" si="19"/>
        <v>2977</v>
      </c>
      <c r="G146" s="162"/>
      <c r="H146" s="162">
        <v>2330</v>
      </c>
      <c r="I146" s="162">
        <v>339</v>
      </c>
      <c r="J146" s="162"/>
      <c r="K146" s="162">
        <v>308</v>
      </c>
      <c r="L146" s="162"/>
      <c r="M146" s="161"/>
      <c r="N146" s="161"/>
      <c r="O146" s="161"/>
      <c r="P146" s="161"/>
      <c r="Q146" s="161"/>
    </row>
    <row r="147" spans="1:17" ht="21.6" customHeight="1">
      <c r="A147" s="173" t="s">
        <v>152</v>
      </c>
      <c r="B147" s="160">
        <f t="shared" si="21"/>
        <v>6650</v>
      </c>
      <c r="C147" s="170"/>
      <c r="D147" s="171"/>
      <c r="E147" s="176"/>
      <c r="F147" s="161">
        <f t="shared" si="19"/>
        <v>6650</v>
      </c>
      <c r="G147" s="162"/>
      <c r="H147" s="162">
        <v>4850</v>
      </c>
      <c r="I147" s="162">
        <v>1800</v>
      </c>
      <c r="J147" s="162"/>
      <c r="K147" s="162"/>
      <c r="L147" s="162"/>
      <c r="M147" s="161"/>
      <c r="N147" s="161"/>
      <c r="O147" s="172"/>
      <c r="P147" s="161"/>
      <c r="Q147" s="161"/>
    </row>
    <row r="148" spans="1:17" ht="30" customHeight="1">
      <c r="A148" s="167" t="s">
        <v>113</v>
      </c>
      <c r="B148" s="160">
        <f t="shared" si="21"/>
        <v>2127</v>
      </c>
      <c r="C148" s="161"/>
      <c r="D148" s="161"/>
      <c r="E148" s="161"/>
      <c r="F148" s="161">
        <f t="shared" si="19"/>
        <v>2127</v>
      </c>
      <c r="G148" s="162"/>
      <c r="H148" s="162">
        <v>1640</v>
      </c>
      <c r="I148" s="162">
        <v>200</v>
      </c>
      <c r="J148" s="162"/>
      <c r="K148" s="162">
        <v>287</v>
      </c>
      <c r="L148" s="162"/>
      <c r="M148" s="161"/>
      <c r="N148" s="161"/>
      <c r="O148" s="161"/>
      <c r="P148" s="161"/>
      <c r="Q148" s="161"/>
    </row>
    <row r="149" spans="1:17" ht="21" customHeight="1">
      <c r="A149" s="167" t="s">
        <v>260</v>
      </c>
      <c r="B149" s="160">
        <f t="shared" si="21"/>
        <v>9405</v>
      </c>
      <c r="C149" s="161"/>
      <c r="D149" s="161"/>
      <c r="E149" s="161"/>
      <c r="F149" s="161">
        <f t="shared" si="22" ref="F149:F169">=SUM(G149:K149)</f>
        <v>9405</v>
      </c>
      <c r="G149" s="162"/>
      <c r="H149" s="162">
        <v>7601</v>
      </c>
      <c r="I149" s="162">
        <v>984</v>
      </c>
      <c r="J149" s="162"/>
      <c r="K149" s="162">
        <v>820</v>
      </c>
      <c r="L149" s="162"/>
      <c r="M149" s="161"/>
      <c r="N149" s="161"/>
      <c r="O149" s="161"/>
      <c r="P149" s="161"/>
      <c r="Q149" s="161"/>
    </row>
    <row r="150" spans="1:17" ht="30" customHeight="1">
      <c r="A150" s="167" t="s">
        <v>110</v>
      </c>
      <c r="B150" s="160">
        <f t="shared" si="21"/>
        <v>3605</v>
      </c>
      <c r="C150" s="161"/>
      <c r="D150" s="161"/>
      <c r="E150" s="161"/>
      <c r="F150" s="161">
        <f t="shared" si="22"/>
        <v>3605</v>
      </c>
      <c r="G150" s="162"/>
      <c r="H150" s="162">
        <v>1840</v>
      </c>
      <c r="I150" s="162">
        <v>1560</v>
      </c>
      <c r="J150" s="162"/>
      <c r="K150" s="162">
        <v>205</v>
      </c>
      <c r="L150" s="162"/>
      <c r="M150" s="161"/>
      <c r="N150" s="161"/>
      <c r="O150" s="161"/>
      <c r="P150" s="161"/>
      <c r="Q150" s="161"/>
    </row>
    <row r="151" spans="1:17" ht="30" customHeight="1">
      <c r="A151" s="167" t="s">
        <v>717</v>
      </c>
      <c r="B151" s="160">
        <f t="shared" si="21"/>
        <v>5659</v>
      </c>
      <c r="C151" s="161"/>
      <c r="D151" s="161"/>
      <c r="E151" s="161"/>
      <c r="F151" s="161">
        <f t="shared" si="22"/>
        <v>5659</v>
      </c>
      <c r="G151" s="162"/>
      <c r="H151" s="162">
        <v>5009</v>
      </c>
      <c r="I151" s="162">
        <v>650</v>
      </c>
      <c r="J151" s="162"/>
      <c r="K151" s="162"/>
      <c r="L151" s="162"/>
      <c r="M151" s="161"/>
      <c r="N151" s="161"/>
      <c r="O151" s="161"/>
      <c r="P151" s="161"/>
      <c r="Q151" s="161"/>
    </row>
    <row r="152" spans="1:17" ht="30" customHeight="1">
      <c r="A152" s="164" t="s">
        <v>118</v>
      </c>
      <c r="B152" s="160">
        <f t="shared" si="21"/>
        <v>3974</v>
      </c>
      <c r="C152" s="161"/>
      <c r="D152" s="161"/>
      <c r="E152" s="161"/>
      <c r="F152" s="161">
        <f t="shared" si="22"/>
        <v>3974</v>
      </c>
      <c r="G152" s="162"/>
      <c r="H152" s="162">
        <v>3610</v>
      </c>
      <c r="I152" s="162">
        <v>280</v>
      </c>
      <c r="J152" s="162"/>
      <c r="K152" s="162">
        <v>84</v>
      </c>
      <c r="L152" s="162"/>
      <c r="M152" s="161"/>
      <c r="N152" s="161"/>
      <c r="O152" s="161"/>
      <c r="P152" s="161"/>
      <c r="Q152" s="161"/>
    </row>
    <row r="153" spans="1:17" ht="30" customHeight="1">
      <c r="A153" s="164" t="s">
        <v>105</v>
      </c>
      <c r="B153" s="160">
        <f t="shared" si="21"/>
        <v>30795</v>
      </c>
      <c r="C153" s="161">
        <f>D153+E153</f>
        <v>22926</v>
      </c>
      <c r="D153" s="161">
        <f>22248+940-4638</f>
        <v>18550</v>
      </c>
      <c r="E153" s="161">
        <v>4376</v>
      </c>
      <c r="F153" s="161">
        <f t="shared" si="22"/>
        <v>7869</v>
      </c>
      <c r="G153" s="162"/>
      <c r="H153" s="162">
        <v>3299</v>
      </c>
      <c r="I153" s="162">
        <v>2970</v>
      </c>
      <c r="J153" s="162"/>
      <c r="K153" s="162">
        <v>1600</v>
      </c>
      <c r="L153" s="162"/>
      <c r="M153" s="161"/>
      <c r="N153" s="161"/>
      <c r="O153" s="161"/>
      <c r="P153" s="161"/>
      <c r="Q153" s="161"/>
    </row>
    <row r="154" spans="1:17" ht="30" customHeight="1">
      <c r="A154" s="164" t="s">
        <v>733</v>
      </c>
      <c r="B154" s="160">
        <f>SUM(C154:F154,M154:Q154)</f>
        <v>2560</v>
      </c>
      <c r="C154" s="161"/>
      <c r="D154" s="161"/>
      <c r="E154" s="161"/>
      <c r="F154" s="161">
        <f t="shared" si="22"/>
        <v>2560</v>
      </c>
      <c r="G154" s="162"/>
      <c r="H154" s="162">
        <v>2560</v>
      </c>
      <c r="I154" s="162"/>
      <c r="J154" s="162"/>
      <c r="K154" s="162"/>
      <c r="L154" s="162"/>
      <c r="M154" s="161"/>
      <c r="N154" s="161"/>
      <c r="O154" s="161"/>
      <c r="P154" s="161"/>
      <c r="Q154" s="161"/>
    </row>
    <row r="155" spans="1:17" ht="30" customHeight="1">
      <c r="A155" s="164" t="s">
        <v>120</v>
      </c>
      <c r="B155" s="160">
        <f>SUM(C155+F155,M155:Q155)</f>
        <v>12366</v>
      </c>
      <c r="C155" s="161">
        <f>D155+E155</f>
        <v>9036</v>
      </c>
      <c r="D155" s="161">
        <v>7311</v>
      </c>
      <c r="E155" s="161">
        <v>1725</v>
      </c>
      <c r="F155" s="161">
        <f t="shared" si="22"/>
        <v>3330</v>
      </c>
      <c r="G155" s="162"/>
      <c r="H155" s="162">
        <v>1479</v>
      </c>
      <c r="I155" s="162">
        <v>1400</v>
      </c>
      <c r="J155" s="162"/>
      <c r="K155" s="162">
        <v>451</v>
      </c>
      <c r="L155" s="162"/>
      <c r="M155" s="161"/>
      <c r="N155" s="161"/>
      <c r="O155" s="161"/>
      <c r="P155" s="161"/>
      <c r="Q155" s="161"/>
    </row>
    <row r="156" spans="1:17" ht="30" customHeight="1">
      <c r="A156" s="173" t="s">
        <v>148</v>
      </c>
      <c r="B156" s="160">
        <f>SUM(C156:F156,M156:Q156)</f>
        <v>26000</v>
      </c>
      <c r="C156" s="170"/>
      <c r="D156" s="171"/>
      <c r="E156" s="176"/>
      <c r="F156" s="161">
        <f t="shared" si="22"/>
        <v>0</v>
      </c>
      <c r="G156" s="162"/>
      <c r="H156" s="162"/>
      <c r="I156" s="162"/>
      <c r="J156" s="162"/>
      <c r="K156" s="162"/>
      <c r="L156" s="162"/>
      <c r="M156" s="161"/>
      <c r="N156" s="161"/>
      <c r="O156" s="172">
        <v>26000</v>
      </c>
      <c r="P156" s="161"/>
      <c r="Q156" s="161"/>
    </row>
    <row r="157" spans="1:17" ht="15" customHeight="1">
      <c r="A157" s="167" t="s">
        <v>30</v>
      </c>
      <c r="B157" s="160">
        <f>SUM(C157+F157,M157:Q157)</f>
        <v>13943</v>
      </c>
      <c r="C157" s="161">
        <f>D157+E157</f>
        <v>11340</v>
      </c>
      <c r="D157" s="161">
        <f>8328+840</f>
        <v>9168</v>
      </c>
      <c r="E157" s="161">
        <v>2172</v>
      </c>
      <c r="F157" s="161">
        <f>SUM(G157:Q157)</f>
        <v>2603</v>
      </c>
      <c r="G157" s="162"/>
      <c r="H157" s="162">
        <v>1361</v>
      </c>
      <c r="I157" s="162">
        <v>1242</v>
      </c>
      <c r="J157" s="162"/>
      <c r="K157" s="162"/>
      <c r="L157" s="162"/>
      <c r="M157" s="161"/>
      <c r="N157" s="161"/>
      <c r="O157" s="161"/>
      <c r="P157" s="161"/>
      <c r="Q157" s="161"/>
    </row>
    <row r="158" spans="1:17" ht="15" customHeight="1">
      <c r="A158" s="164" t="s">
        <v>31</v>
      </c>
      <c r="B158" s="160">
        <f t="shared" si="23" ref="B158:B166">=SUM(C158+F158,M158:Q158)</f>
        <v>15089</v>
      </c>
      <c r="C158" s="161">
        <f t="shared" si="24" ref="C158:C166">=D158+E158</f>
        <v>12486</v>
      </c>
      <c r="D158" s="161">
        <f>2180+7818</f>
        <v>9998</v>
      </c>
      <c r="E158" s="161">
        <v>2488</v>
      </c>
      <c r="F158" s="161">
        <f t="shared" si="22"/>
        <v>2603</v>
      </c>
      <c r="G158" s="162"/>
      <c r="H158" s="162">
        <v>1114</v>
      </c>
      <c r="I158" s="162">
        <v>1489</v>
      </c>
      <c r="J158" s="162"/>
      <c r="K158" s="162"/>
      <c r="L158" s="162"/>
      <c r="M158" s="161"/>
      <c r="N158" s="161"/>
      <c r="O158" s="161"/>
      <c r="P158" s="161"/>
      <c r="Q158" s="161"/>
    </row>
    <row r="159" spans="1:17" ht="15" customHeight="1">
      <c r="A159" s="164" t="s">
        <v>32</v>
      </c>
      <c r="B159" s="160">
        <f t="shared" si="23"/>
        <v>13911</v>
      </c>
      <c r="C159" s="161">
        <f t="shared" si="24"/>
        <v>11308</v>
      </c>
      <c r="D159" s="161">
        <f>840+8441</f>
        <v>9281</v>
      </c>
      <c r="E159" s="161">
        <v>2027</v>
      </c>
      <c r="F159" s="161">
        <f t="shared" si="22"/>
        <v>2603</v>
      </c>
      <c r="G159" s="162"/>
      <c r="H159" s="162">
        <v>1281</v>
      </c>
      <c r="I159" s="162">
        <v>1322</v>
      </c>
      <c r="J159" s="162"/>
      <c r="K159" s="162"/>
      <c r="L159" s="162"/>
      <c r="M159" s="161"/>
      <c r="N159" s="161"/>
      <c r="O159" s="161"/>
      <c r="P159" s="161"/>
      <c r="Q159" s="161"/>
    </row>
    <row r="160" spans="1:17" ht="15" customHeight="1">
      <c r="A160" s="164" t="s">
        <v>153</v>
      </c>
      <c r="B160" s="160">
        <f>SUM(C160+F160,M160:Q160)</f>
        <v>12896</v>
      </c>
      <c r="C160" s="161">
        <f>D160+E160</f>
        <v>10293</v>
      </c>
      <c r="D160" s="161">
        <f>8328</f>
        <v>8328</v>
      </c>
      <c r="E160" s="161">
        <v>1965</v>
      </c>
      <c r="F160" s="161">
        <f t="shared" si="22"/>
        <v>2603</v>
      </c>
      <c r="G160" s="162"/>
      <c r="H160" s="162">
        <v>1603</v>
      </c>
      <c r="I160" s="162">
        <v>1000</v>
      </c>
      <c r="J160" s="162"/>
      <c r="K160" s="162"/>
      <c r="L160" s="162"/>
      <c r="M160" s="161"/>
      <c r="N160" s="161"/>
      <c r="O160" s="161"/>
      <c r="P160" s="161"/>
      <c r="Q160" s="161"/>
    </row>
    <row r="161" spans="1:17" ht="15" customHeight="1">
      <c r="A161" s="164" t="s">
        <v>33</v>
      </c>
      <c r="B161" s="160">
        <f t="shared" si="23"/>
        <v>13024</v>
      </c>
      <c r="C161" s="161">
        <f t="shared" si="24"/>
        <v>10421</v>
      </c>
      <c r="D161" s="161">
        <f>8328</f>
        <v>8328</v>
      </c>
      <c r="E161" s="161">
        <v>2093</v>
      </c>
      <c r="F161" s="161">
        <f t="shared" si="22"/>
        <v>2603</v>
      </c>
      <c r="G161" s="162"/>
      <c r="H161" s="162">
        <v>1179</v>
      </c>
      <c r="I161" s="162">
        <v>1424</v>
      </c>
      <c r="J161" s="162"/>
      <c r="K161" s="162"/>
      <c r="L161" s="162"/>
      <c r="M161" s="161"/>
      <c r="N161" s="161"/>
      <c r="O161" s="161"/>
      <c r="P161" s="161"/>
      <c r="Q161" s="161"/>
    </row>
    <row r="162" spans="1:17" ht="15" customHeight="1">
      <c r="A162" s="169" t="s">
        <v>133</v>
      </c>
      <c r="B162" s="160">
        <f t="shared" si="23"/>
        <v>15914</v>
      </c>
      <c r="C162" s="170">
        <f t="shared" si="24"/>
        <v>13311</v>
      </c>
      <c r="D162" s="171">
        <f>3020+8001</f>
        <v>11021</v>
      </c>
      <c r="E162" s="176">
        <v>2290</v>
      </c>
      <c r="F162" s="161">
        <f t="shared" si="22"/>
        <v>2603</v>
      </c>
      <c r="G162" s="177"/>
      <c r="H162" s="177">
        <v>1321</v>
      </c>
      <c r="I162" s="177">
        <v>1282</v>
      </c>
      <c r="J162" s="177"/>
      <c r="K162" s="177"/>
      <c r="L162" s="177"/>
      <c r="M162" s="172"/>
      <c r="N162" s="172"/>
      <c r="O162" s="172"/>
      <c r="P162" s="172"/>
      <c r="Q162" s="172"/>
    </row>
    <row r="163" spans="1:17" ht="15" customHeight="1">
      <c r="A163" s="164" t="s">
        <v>128</v>
      </c>
      <c r="B163" s="160">
        <f t="shared" si="23"/>
        <v>15620</v>
      </c>
      <c r="C163" s="161">
        <f t="shared" si="24"/>
        <v>13017</v>
      </c>
      <c r="D163" s="161">
        <f>2100+8328</f>
        <v>10428</v>
      </c>
      <c r="E163" s="161">
        <f>624+1965</f>
        <v>2589</v>
      </c>
      <c r="F163" s="161">
        <f t="shared" si="22"/>
        <v>2603</v>
      </c>
      <c r="G163" s="162"/>
      <c r="H163" s="162">
        <v>810</v>
      </c>
      <c r="I163" s="162">
        <v>1793</v>
      </c>
      <c r="J163" s="162"/>
      <c r="K163" s="162"/>
      <c r="L163" s="162"/>
      <c r="M163" s="161"/>
      <c r="N163" s="161"/>
      <c r="O163" s="161"/>
      <c r="P163" s="161"/>
      <c r="Q163" s="161"/>
    </row>
    <row r="164" spans="1:17" ht="15" customHeight="1">
      <c r="A164" s="164" t="s">
        <v>34</v>
      </c>
      <c r="B164" s="160">
        <f t="shared" si="23"/>
        <v>16826</v>
      </c>
      <c r="C164" s="161">
        <f t="shared" si="24"/>
        <v>13223</v>
      </c>
      <c r="D164" s="161">
        <f>2267+8328</f>
        <v>10595</v>
      </c>
      <c r="E164" s="161">
        <f>663+1965</f>
        <v>2628</v>
      </c>
      <c r="F164" s="161">
        <f t="shared" si="22"/>
        <v>3603</v>
      </c>
      <c r="G164" s="162"/>
      <c r="H164" s="162">
        <v>890</v>
      </c>
      <c r="I164" s="162">
        <f>1000+1713</f>
        <v>2713</v>
      </c>
      <c r="J164" s="162"/>
      <c r="K164" s="162"/>
      <c r="L164" s="162"/>
      <c r="M164" s="161"/>
      <c r="N164" s="161"/>
      <c r="O164" s="161"/>
      <c r="P164" s="161"/>
      <c r="Q164" s="161"/>
    </row>
    <row r="165" spans="1:17" ht="15" customHeight="1">
      <c r="A165" s="164" t="s">
        <v>35</v>
      </c>
      <c r="B165" s="160">
        <f t="shared" si="23"/>
        <v>13024</v>
      </c>
      <c r="C165" s="161">
        <f t="shared" si="24"/>
        <v>10421</v>
      </c>
      <c r="D165" s="161">
        <f>8328</f>
        <v>8328</v>
      </c>
      <c r="E165" s="161">
        <v>2093</v>
      </c>
      <c r="F165" s="161">
        <f t="shared" si="22"/>
        <v>2603</v>
      </c>
      <c r="G165" s="162"/>
      <c r="H165" s="162">
        <v>1399</v>
      </c>
      <c r="I165" s="162">
        <v>1204</v>
      </c>
      <c r="J165" s="162"/>
      <c r="K165" s="162"/>
      <c r="L165" s="162"/>
      <c r="M165" s="161"/>
      <c r="N165" s="161"/>
      <c r="O165" s="161"/>
      <c r="P165" s="161"/>
      <c r="Q165" s="161"/>
    </row>
    <row r="166" spans="1:17" ht="30" customHeight="1">
      <c r="A166" s="169" t="s">
        <v>189</v>
      </c>
      <c r="B166" s="160">
        <f t="shared" si="23"/>
        <v>19829</v>
      </c>
      <c r="C166" s="172">
        <f t="shared" si="24"/>
        <v>11028</v>
      </c>
      <c r="D166" s="176">
        <v>8923</v>
      </c>
      <c r="E166" s="171">
        <v>2105</v>
      </c>
      <c r="F166" s="161">
        <f t="shared" si="22"/>
        <v>8801</v>
      </c>
      <c r="G166" s="177"/>
      <c r="H166" s="177">
        <v>3366</v>
      </c>
      <c r="I166" s="177">
        <v>5435</v>
      </c>
      <c r="J166" s="177"/>
      <c r="K166" s="177"/>
      <c r="L166" s="177"/>
      <c r="M166" s="172"/>
      <c r="N166" s="172"/>
      <c r="O166" s="172"/>
      <c r="P166" s="172"/>
      <c r="Q166" s="172"/>
    </row>
    <row r="167" spans="1:17" ht="15" customHeight="1">
      <c r="A167" s="164" t="s">
        <v>177</v>
      </c>
      <c r="B167" s="160">
        <f t="shared" si="25" ref="B167:B170">=SUM(C167+F167,M167:Q167)</f>
        <v>76922</v>
      </c>
      <c r="C167" s="161">
        <f>D167+E167</f>
        <v>70138</v>
      </c>
      <c r="D167" s="161">
        <v>56333</v>
      </c>
      <c r="E167" s="161">
        <v>13805</v>
      </c>
      <c r="F167" s="161">
        <f t="shared" si="22"/>
        <v>6784</v>
      </c>
      <c r="G167" s="162">
        <v>80</v>
      </c>
      <c r="H167" s="162">
        <v>575</v>
      </c>
      <c r="I167" s="162">
        <v>6129</v>
      </c>
      <c r="J167" s="162"/>
      <c r="K167" s="162"/>
      <c r="L167" s="162"/>
      <c r="M167" s="161"/>
      <c r="N167" s="161"/>
      <c r="O167" s="161"/>
      <c r="P167" s="161"/>
      <c r="Q167" s="161"/>
    </row>
    <row r="168" spans="1:17" ht="30" customHeight="1">
      <c r="A168" s="164" t="s">
        <v>208</v>
      </c>
      <c r="B168" s="160">
        <f t="shared" si="25"/>
        <v>32894</v>
      </c>
      <c r="C168" s="161">
        <f>D168+E168</f>
        <v>2860</v>
      </c>
      <c r="D168" s="161">
        <v>2860</v>
      </c>
      <c r="E168" s="161"/>
      <c r="F168" s="161">
        <f t="shared" si="22"/>
        <v>30034</v>
      </c>
      <c r="G168" s="162">
        <v>3484</v>
      </c>
      <c r="H168" s="162">
        <v>12505</v>
      </c>
      <c r="I168" s="162">
        <v>14045</v>
      </c>
      <c r="J168" s="162"/>
      <c r="K168" s="162"/>
      <c r="L168" s="162"/>
      <c r="M168" s="161"/>
      <c r="N168" s="161"/>
      <c r="O168" s="161"/>
      <c r="P168" s="161"/>
      <c r="Q168" s="161"/>
    </row>
    <row r="169" spans="1:17" ht="27.75" customHeight="1">
      <c r="A169" s="164" t="s">
        <v>783</v>
      </c>
      <c r="B169" s="160">
        <f>SUM(C169+F169,M169:Q169)</f>
        <v>19169</v>
      </c>
      <c r="C169" s="161">
        <f>D169+E169</f>
        <v>400</v>
      </c>
      <c r="D169" s="161">
        <v>320</v>
      </c>
      <c r="E169" s="161">
        <v>80</v>
      </c>
      <c r="F169" s="161">
        <f t="shared" si="22"/>
        <v>18769</v>
      </c>
      <c r="G169" s="162">
        <v>7713</v>
      </c>
      <c r="H169" s="162">
        <v>1300</v>
      </c>
      <c r="I169" s="162">
        <v>9756</v>
      </c>
      <c r="J169" s="162"/>
      <c r="K169" s="162"/>
      <c r="L169" s="162"/>
      <c r="M169" s="161"/>
      <c r="N169" s="161"/>
      <c r="O169" s="161"/>
      <c r="P169" s="161"/>
      <c r="Q169" s="161"/>
    </row>
    <row r="170" spans="1:17" ht="15" customHeight="1">
      <c r="A170" s="164" t="s">
        <v>230</v>
      </c>
      <c r="B170" s="160">
        <f t="shared" si="25"/>
        <v>25492</v>
      </c>
      <c r="C170" s="161">
        <f>D170+E170</f>
        <v>15084</v>
      </c>
      <c r="D170" s="161">
        <v>12030</v>
      </c>
      <c r="E170" s="161">
        <v>3054</v>
      </c>
      <c r="F170" s="161">
        <f>SUM(G170:K170)</f>
        <v>9608</v>
      </c>
      <c r="G170" s="162"/>
      <c r="H170" s="162">
        <v>2423</v>
      </c>
      <c r="I170" s="162">
        <v>7185</v>
      </c>
      <c r="J170" s="162"/>
      <c r="K170" s="162"/>
      <c r="L170" s="162"/>
      <c r="M170" s="161"/>
      <c r="N170" s="161"/>
      <c r="O170" s="161">
        <v>800</v>
      </c>
      <c r="P170" s="161"/>
      <c r="Q170" s="161"/>
    </row>
    <row r="171" spans="1:17" ht="15" customHeight="1">
      <c r="A171" s="164" t="s">
        <v>36</v>
      </c>
      <c r="B171" s="160">
        <f t="shared" si="26" ref="B171:B196">=SUM(C171+F171,M171:Q171)</f>
        <v>473195</v>
      </c>
      <c r="C171" s="161">
        <f t="shared" si="27" ref="C171:C179">=D171+E171</f>
        <v>406263</v>
      </c>
      <c r="D171" s="161">
        <v>328878</v>
      </c>
      <c r="E171" s="161">
        <v>77385</v>
      </c>
      <c r="F171" s="161">
        <f t="shared" si="28" ref="F171:F199">=SUM(G171:K171)</f>
        <v>42532</v>
      </c>
      <c r="G171" s="162">
        <v>270</v>
      </c>
      <c r="H171" s="162">
        <v>23992</v>
      </c>
      <c r="I171" s="162">
        <v>4870</v>
      </c>
      <c r="J171" s="162">
        <v>13400</v>
      </c>
      <c r="K171" s="162"/>
      <c r="L171" s="162"/>
      <c r="M171" s="161"/>
      <c r="N171" s="161"/>
      <c r="O171" s="161">
        <v>24400</v>
      </c>
      <c r="P171" s="161"/>
      <c r="Q171" s="161"/>
    </row>
    <row r="172" spans="1:17" ht="15" customHeight="1">
      <c r="A172" s="163" t="s">
        <v>82</v>
      </c>
      <c r="B172" s="160">
        <f t="shared" si="26"/>
        <v>127876</v>
      </c>
      <c r="C172" s="161">
        <f t="shared" si="27"/>
        <v>97105</v>
      </c>
      <c r="D172" s="161">
        <v>78144</v>
      </c>
      <c r="E172" s="161">
        <v>18961</v>
      </c>
      <c r="F172" s="161">
        <f t="shared" si="28"/>
        <v>30771</v>
      </c>
      <c r="G172" s="162">
        <v>203</v>
      </c>
      <c r="H172" s="162">
        <v>28288</v>
      </c>
      <c r="I172" s="162">
        <v>2280</v>
      </c>
      <c r="J172" s="162"/>
      <c r="K172" s="162"/>
      <c r="L172" s="162"/>
      <c r="M172" s="161"/>
      <c r="N172" s="161"/>
      <c r="O172" s="161"/>
      <c r="P172" s="161"/>
      <c r="Q172" s="161"/>
    </row>
    <row r="173" spans="1:17" ht="15" customHeight="1">
      <c r="A173" s="163" t="s">
        <v>154</v>
      </c>
      <c r="B173" s="160">
        <f t="shared" si="26"/>
        <v>49301</v>
      </c>
      <c r="C173" s="161">
        <f t="shared" si="27"/>
        <v>40635</v>
      </c>
      <c r="D173" s="161">
        <v>33507</v>
      </c>
      <c r="E173" s="161">
        <v>7128</v>
      </c>
      <c r="F173" s="161">
        <f t="shared" si="28"/>
        <v>8566</v>
      </c>
      <c r="G173" s="162">
        <v>90</v>
      </c>
      <c r="H173" s="162">
        <v>3453</v>
      </c>
      <c r="I173" s="162">
        <v>5023</v>
      </c>
      <c r="J173" s="162"/>
      <c r="K173" s="162"/>
      <c r="L173" s="162"/>
      <c r="M173" s="161"/>
      <c r="N173" s="161"/>
      <c r="O173" s="161">
        <v>100</v>
      </c>
      <c r="P173" s="161"/>
      <c r="Q173" s="161"/>
    </row>
    <row r="174" spans="1:17" ht="15" customHeight="1">
      <c r="A174" s="169" t="s">
        <v>136</v>
      </c>
      <c r="B174" s="160">
        <f t="shared" si="26"/>
        <v>10051</v>
      </c>
      <c r="C174" s="178">
        <f t="shared" si="27"/>
        <v>9087</v>
      </c>
      <c r="D174" s="171">
        <v>7749</v>
      </c>
      <c r="E174" s="176">
        <v>1338</v>
      </c>
      <c r="F174" s="161">
        <f t="shared" si="28"/>
        <v>964</v>
      </c>
      <c r="G174" s="179">
        <v>30</v>
      </c>
      <c r="H174" s="179">
        <v>392</v>
      </c>
      <c r="I174" s="179">
        <v>542</v>
      </c>
      <c r="J174" s="179"/>
      <c r="K174" s="179"/>
      <c r="L174" s="179"/>
      <c r="M174" s="180"/>
      <c r="N174" s="180"/>
      <c r="O174" s="180"/>
      <c r="P174" s="180"/>
      <c r="Q174" s="180"/>
    </row>
    <row r="175" spans="1:17" ht="20.25" customHeight="1">
      <c r="A175" s="164" t="s">
        <v>135</v>
      </c>
      <c r="B175" s="160">
        <f t="shared" si="26"/>
        <v>40744</v>
      </c>
      <c r="C175" s="161">
        <f t="shared" si="27"/>
        <v>27541</v>
      </c>
      <c r="D175" s="161">
        <v>22393</v>
      </c>
      <c r="E175" s="161">
        <v>5148</v>
      </c>
      <c r="F175" s="161">
        <f t="shared" si="28"/>
        <v>13203</v>
      </c>
      <c r="G175" s="162">
        <v>80</v>
      </c>
      <c r="H175" s="162">
        <v>3158</v>
      </c>
      <c r="I175" s="162">
        <v>9965</v>
      </c>
      <c r="J175" s="162"/>
      <c r="K175" s="162"/>
      <c r="L175" s="162"/>
      <c r="M175" s="161"/>
      <c r="N175" s="161"/>
      <c r="O175" s="161"/>
      <c r="P175" s="161"/>
      <c r="Q175" s="161"/>
    </row>
    <row r="176" spans="1:17" ht="30" customHeight="1">
      <c r="A176" s="167" t="s">
        <v>134</v>
      </c>
      <c r="B176" s="160">
        <f t="shared" si="26"/>
        <v>13905</v>
      </c>
      <c r="C176" s="161">
        <f>D176+E176</f>
        <v>9173</v>
      </c>
      <c r="D176" s="161">
        <v>7417</v>
      </c>
      <c r="E176" s="161">
        <v>1756</v>
      </c>
      <c r="F176" s="161">
        <f t="shared" si="28"/>
        <v>4732</v>
      </c>
      <c r="G176" s="162"/>
      <c r="H176" s="162">
        <v>2282</v>
      </c>
      <c r="I176" s="162">
        <v>2450</v>
      </c>
      <c r="J176" s="162"/>
      <c r="K176" s="162"/>
      <c r="L176" s="162"/>
      <c r="M176" s="161"/>
      <c r="N176" s="161"/>
      <c r="O176" s="161"/>
      <c r="P176" s="161"/>
      <c r="Q176" s="161"/>
    </row>
    <row r="177" spans="1:17" ht="15" customHeight="1">
      <c r="A177" s="167" t="s">
        <v>80</v>
      </c>
      <c r="B177" s="160">
        <f t="shared" si="26"/>
        <v>235948</v>
      </c>
      <c r="C177" s="161">
        <f t="shared" si="27"/>
        <v>187607</v>
      </c>
      <c r="D177" s="161">
        <v>152250</v>
      </c>
      <c r="E177" s="161">
        <v>35357</v>
      </c>
      <c r="F177" s="161">
        <f t="shared" si="28"/>
        <v>48341</v>
      </c>
      <c r="G177" s="162">
        <v>130</v>
      </c>
      <c r="H177" s="162">
        <v>33164</v>
      </c>
      <c r="I177" s="162">
        <v>15047</v>
      </c>
      <c r="J177" s="162"/>
      <c r="K177" s="162"/>
      <c r="L177" s="162"/>
      <c r="M177" s="161"/>
      <c r="N177" s="161"/>
      <c r="O177" s="161"/>
      <c r="P177" s="161"/>
      <c r="Q177" s="161"/>
    </row>
    <row r="178" spans="1:17" ht="15" customHeight="1">
      <c r="A178" s="167" t="s">
        <v>37</v>
      </c>
      <c r="B178" s="160">
        <f t="shared" si="26"/>
        <v>62056</v>
      </c>
      <c r="C178" s="161">
        <f t="shared" si="27"/>
        <v>1734</v>
      </c>
      <c r="D178" s="161">
        <v>1734</v>
      </c>
      <c r="E178" s="161"/>
      <c r="F178" s="161">
        <f t="shared" si="28"/>
        <v>60322</v>
      </c>
      <c r="G178" s="162"/>
      <c r="H178" s="162">
        <v>56212</v>
      </c>
      <c r="I178" s="162">
        <v>4110</v>
      </c>
      <c r="J178" s="162"/>
      <c r="K178" s="162"/>
      <c r="L178" s="162"/>
      <c r="M178" s="161"/>
      <c r="N178" s="161"/>
      <c r="O178" s="161"/>
      <c r="P178" s="161"/>
      <c r="Q178" s="161"/>
    </row>
    <row r="179" spans="1:17" ht="15" customHeight="1">
      <c r="A179" s="167" t="s">
        <v>155</v>
      </c>
      <c r="B179" s="160">
        <f t="shared" si="26"/>
        <v>45814</v>
      </c>
      <c r="C179" s="161">
        <f t="shared" si="27"/>
        <v>36008</v>
      </c>
      <c r="D179" s="161">
        <v>30158</v>
      </c>
      <c r="E179" s="161">
        <v>5850</v>
      </c>
      <c r="F179" s="161">
        <f t="shared" si="28"/>
        <v>9806</v>
      </c>
      <c r="G179" s="162"/>
      <c r="H179" s="162">
        <v>7756</v>
      </c>
      <c r="I179" s="162">
        <f>1350+700</f>
        <v>2050</v>
      </c>
      <c r="J179" s="162"/>
      <c r="K179" s="162"/>
      <c r="L179" s="162"/>
      <c r="M179" s="161"/>
      <c r="N179" s="161"/>
      <c r="O179" s="161"/>
      <c r="P179" s="161"/>
      <c r="Q179" s="161"/>
    </row>
    <row r="180" spans="1:17" ht="15" customHeight="1">
      <c r="A180" s="167" t="s">
        <v>201</v>
      </c>
      <c r="B180" s="160">
        <f t="shared" si="26"/>
        <v>46344</v>
      </c>
      <c r="C180" s="161">
        <f t="shared" si="29" ref="C180:C189">=D180+E180</f>
        <v>37049</v>
      </c>
      <c r="D180" s="161">
        <v>30175</v>
      </c>
      <c r="E180" s="161">
        <v>6874</v>
      </c>
      <c r="F180" s="161">
        <f t="shared" si="28"/>
        <v>9295</v>
      </c>
      <c r="G180" s="162"/>
      <c r="H180" s="162">
        <v>6475</v>
      </c>
      <c r="I180" s="162">
        <v>2820</v>
      </c>
      <c r="J180" s="162"/>
      <c r="K180" s="162"/>
      <c r="L180" s="162"/>
      <c r="M180" s="161"/>
      <c r="N180" s="161"/>
      <c r="O180" s="161"/>
      <c r="P180" s="161"/>
      <c r="Q180" s="161"/>
    </row>
    <row r="181" spans="1:17" ht="15" customHeight="1">
      <c r="A181" s="167" t="s">
        <v>38</v>
      </c>
      <c r="B181" s="160">
        <f t="shared" si="26"/>
        <v>41948</v>
      </c>
      <c r="C181" s="161">
        <f t="shared" si="29"/>
        <v>33216</v>
      </c>
      <c r="D181" s="161">
        <v>26905</v>
      </c>
      <c r="E181" s="161">
        <v>6311</v>
      </c>
      <c r="F181" s="161">
        <f t="shared" si="28"/>
        <v>8732</v>
      </c>
      <c r="G181" s="162"/>
      <c r="H181" s="162">
        <v>4457</v>
      </c>
      <c r="I181" s="162">
        <v>4275</v>
      </c>
      <c r="J181" s="162"/>
      <c r="K181" s="162"/>
      <c r="L181" s="162"/>
      <c r="M181" s="161"/>
      <c r="N181" s="161"/>
      <c r="O181" s="161"/>
      <c r="P181" s="161"/>
      <c r="Q181" s="161"/>
    </row>
    <row r="182" spans="1:17" ht="15" customHeight="1">
      <c r="A182" s="167" t="s">
        <v>39</v>
      </c>
      <c r="B182" s="160">
        <f t="shared" si="26"/>
        <v>31644</v>
      </c>
      <c r="C182" s="161">
        <f t="shared" si="29"/>
        <v>27048</v>
      </c>
      <c r="D182" s="161">
        <v>21722</v>
      </c>
      <c r="E182" s="161">
        <v>5326</v>
      </c>
      <c r="F182" s="161">
        <f t="shared" si="28"/>
        <v>4596</v>
      </c>
      <c r="G182" s="162"/>
      <c r="H182" s="162">
        <v>2666</v>
      </c>
      <c r="I182" s="162">
        <v>1930</v>
      </c>
      <c r="J182" s="162"/>
      <c r="K182" s="162"/>
      <c r="L182" s="162"/>
      <c r="M182" s="161"/>
      <c r="N182" s="161"/>
      <c r="O182" s="161"/>
      <c r="P182" s="161"/>
      <c r="Q182" s="161"/>
    </row>
    <row r="183" spans="1:17" ht="15" customHeight="1">
      <c r="A183" s="167" t="s">
        <v>40</v>
      </c>
      <c r="B183" s="160">
        <f t="shared" si="26"/>
        <v>57400</v>
      </c>
      <c r="C183" s="161">
        <f t="shared" si="29"/>
        <v>36631</v>
      </c>
      <c r="D183" s="161">
        <v>29879</v>
      </c>
      <c r="E183" s="161">
        <v>6752</v>
      </c>
      <c r="F183" s="161">
        <f t="shared" si="28"/>
        <v>20769</v>
      </c>
      <c r="G183" s="162"/>
      <c r="H183" s="162">
        <v>13869</v>
      </c>
      <c r="I183" s="162">
        <v>6900</v>
      </c>
      <c r="J183" s="162"/>
      <c r="K183" s="162"/>
      <c r="L183" s="162"/>
      <c r="M183" s="161"/>
      <c r="N183" s="161"/>
      <c r="O183" s="161"/>
      <c r="P183" s="161"/>
      <c r="Q183" s="161"/>
    </row>
    <row r="184" spans="1:17" ht="15" customHeight="1">
      <c r="A184" s="173" t="s">
        <v>132</v>
      </c>
      <c r="B184" s="160">
        <f t="shared" si="26"/>
        <v>47314</v>
      </c>
      <c r="C184" s="170">
        <f t="shared" si="29"/>
        <v>30804</v>
      </c>
      <c r="D184" s="171">
        <v>24993</v>
      </c>
      <c r="E184" s="176">
        <v>5811</v>
      </c>
      <c r="F184" s="161">
        <f t="shared" si="28"/>
        <v>16510</v>
      </c>
      <c r="G184" s="177"/>
      <c r="H184" s="177">
        <v>12785</v>
      </c>
      <c r="I184" s="177">
        <v>3725</v>
      </c>
      <c r="J184" s="177"/>
      <c r="K184" s="177"/>
      <c r="L184" s="177"/>
      <c r="M184" s="172"/>
      <c r="N184" s="172"/>
      <c r="O184" s="172"/>
      <c r="P184" s="172"/>
      <c r="Q184" s="172"/>
    </row>
    <row r="185" spans="1:17" ht="15" customHeight="1">
      <c r="A185" s="167" t="s">
        <v>200</v>
      </c>
      <c r="B185" s="160">
        <f t="shared" si="26"/>
        <v>12114</v>
      </c>
      <c r="C185" s="161">
        <f t="shared" si="29"/>
        <v>8851</v>
      </c>
      <c r="D185" s="161">
        <v>7134</v>
      </c>
      <c r="E185" s="161">
        <v>1717</v>
      </c>
      <c r="F185" s="161">
        <f t="shared" si="28"/>
        <v>3263</v>
      </c>
      <c r="G185" s="162"/>
      <c r="H185" s="162">
        <v>2228</v>
      </c>
      <c r="I185" s="162">
        <v>1035</v>
      </c>
      <c r="J185" s="162"/>
      <c r="K185" s="162"/>
      <c r="L185" s="162"/>
      <c r="M185" s="161"/>
      <c r="N185" s="161"/>
      <c r="O185" s="161"/>
      <c r="P185" s="161"/>
      <c r="Q185" s="161"/>
    </row>
    <row r="186" spans="1:17" ht="15" customHeight="1">
      <c r="A186" s="167" t="s">
        <v>159</v>
      </c>
      <c r="B186" s="160">
        <f t="shared" si="26"/>
        <v>37450</v>
      </c>
      <c r="C186" s="161">
        <f t="shared" si="29"/>
        <v>24987</v>
      </c>
      <c r="D186" s="161">
        <v>19291</v>
      </c>
      <c r="E186" s="161">
        <v>5696</v>
      </c>
      <c r="F186" s="161">
        <f t="shared" si="28"/>
        <v>12463</v>
      </c>
      <c r="G186" s="162"/>
      <c r="H186" s="162">
        <v>6773</v>
      </c>
      <c r="I186" s="162">
        <v>5690</v>
      </c>
      <c r="J186" s="162"/>
      <c r="K186" s="162"/>
      <c r="L186" s="162"/>
      <c r="M186" s="161"/>
      <c r="N186" s="161"/>
      <c r="O186" s="161"/>
      <c r="P186" s="161"/>
      <c r="Q186" s="161"/>
    </row>
    <row r="187" spans="1:17" ht="15" customHeight="1">
      <c r="A187" s="167" t="s">
        <v>207</v>
      </c>
      <c r="B187" s="160">
        <f t="shared" si="26"/>
        <v>25294</v>
      </c>
      <c r="C187" s="161">
        <f t="shared" si="29"/>
        <v>18406</v>
      </c>
      <c r="D187" s="161">
        <v>14751</v>
      </c>
      <c r="E187" s="161">
        <v>3655</v>
      </c>
      <c r="F187" s="161">
        <f t="shared" si="28"/>
        <v>5888</v>
      </c>
      <c r="G187" s="162"/>
      <c r="H187" s="162">
        <f>4045-400-600</f>
        <v>3045</v>
      </c>
      <c r="I187" s="162">
        <v>2843</v>
      </c>
      <c r="J187" s="162"/>
      <c r="K187" s="162"/>
      <c r="L187" s="162"/>
      <c r="M187" s="161"/>
      <c r="N187" s="161"/>
      <c r="O187" s="161">
        <v>1000</v>
      </c>
      <c r="P187" s="161"/>
      <c r="Q187" s="161"/>
    </row>
    <row r="188" spans="1:17" ht="15" customHeight="1">
      <c r="A188" s="167" t="s">
        <v>198</v>
      </c>
      <c r="B188" s="160">
        <f t="shared" si="26"/>
        <v>18466</v>
      </c>
      <c r="C188" s="161">
        <f t="shared" si="29"/>
        <v>13685</v>
      </c>
      <c r="D188" s="161">
        <v>11094</v>
      </c>
      <c r="E188" s="161">
        <v>2591</v>
      </c>
      <c r="F188" s="161">
        <f t="shared" si="28"/>
        <v>4781</v>
      </c>
      <c r="G188" s="162"/>
      <c r="H188" s="162">
        <v>3012</v>
      </c>
      <c r="I188" s="162">
        <v>1769</v>
      </c>
      <c r="J188" s="162"/>
      <c r="K188" s="162"/>
      <c r="L188" s="162"/>
      <c r="M188" s="161"/>
      <c r="N188" s="161"/>
      <c r="O188" s="161"/>
      <c r="P188" s="161"/>
      <c r="Q188" s="161"/>
    </row>
    <row r="189" spans="1:17" ht="15" customHeight="1">
      <c r="A189" s="173" t="s">
        <v>192</v>
      </c>
      <c r="B189" s="160">
        <f t="shared" si="26"/>
        <v>65006</v>
      </c>
      <c r="C189" s="178">
        <f t="shared" si="29"/>
        <v>51669</v>
      </c>
      <c r="D189" s="171">
        <v>42047</v>
      </c>
      <c r="E189" s="176">
        <v>9622</v>
      </c>
      <c r="F189" s="161">
        <f t="shared" si="28"/>
        <v>12417</v>
      </c>
      <c r="G189" s="179"/>
      <c r="H189" s="179">
        <v>8402</v>
      </c>
      <c r="I189" s="179">
        <v>4015</v>
      </c>
      <c r="J189" s="179"/>
      <c r="K189" s="179"/>
      <c r="L189" s="179"/>
      <c r="M189" s="180"/>
      <c r="N189" s="180"/>
      <c r="O189" s="180">
        <v>920</v>
      </c>
      <c r="P189" s="180"/>
      <c r="Q189" s="180"/>
    </row>
    <row r="190" spans="1:17" ht="15" customHeight="1">
      <c r="A190" s="167" t="s">
        <v>218</v>
      </c>
      <c r="B190" s="160">
        <f t="shared" si="26"/>
        <v>47154</v>
      </c>
      <c r="C190" s="161">
        <f t="shared" si="30" ref="C190:C196">=D190+E190</f>
        <v>38937</v>
      </c>
      <c r="D190" s="161">
        <v>31966</v>
      </c>
      <c r="E190" s="161">
        <v>6971</v>
      </c>
      <c r="F190" s="161">
        <f t="shared" si="28"/>
        <v>8217</v>
      </c>
      <c r="G190" s="162"/>
      <c r="H190" s="162">
        <v>5662</v>
      </c>
      <c r="I190" s="162">
        <v>2555</v>
      </c>
      <c r="J190" s="162"/>
      <c r="K190" s="162"/>
      <c r="L190" s="162"/>
      <c r="M190" s="161"/>
      <c r="N190" s="161"/>
      <c r="O190" s="161"/>
      <c r="P190" s="161"/>
      <c r="Q190" s="161"/>
    </row>
    <row r="191" spans="1:17" ht="15" customHeight="1">
      <c r="A191" s="167" t="s">
        <v>209</v>
      </c>
      <c r="B191" s="160">
        <f t="shared" si="26"/>
        <v>35518</v>
      </c>
      <c r="C191" s="161">
        <f t="shared" si="30"/>
        <v>28223</v>
      </c>
      <c r="D191" s="161">
        <v>22268</v>
      </c>
      <c r="E191" s="161">
        <v>5955</v>
      </c>
      <c r="F191" s="161">
        <f t="shared" si="28"/>
        <v>7295</v>
      </c>
      <c r="G191" s="162"/>
      <c r="H191" s="162">
        <v>4275</v>
      </c>
      <c r="I191" s="162">
        <v>3020</v>
      </c>
      <c r="J191" s="162"/>
      <c r="K191" s="162"/>
      <c r="L191" s="162"/>
      <c r="M191" s="161"/>
      <c r="N191" s="161"/>
      <c r="O191" s="161"/>
      <c r="P191" s="161"/>
      <c r="Q191" s="161"/>
    </row>
    <row r="192" spans="1:17" ht="15" customHeight="1">
      <c r="A192" s="167" t="s">
        <v>41</v>
      </c>
      <c r="B192" s="160">
        <f t="shared" si="26"/>
        <v>28085</v>
      </c>
      <c r="C192" s="161">
        <f t="shared" si="30"/>
        <v>19270</v>
      </c>
      <c r="D192" s="161">
        <v>15633</v>
      </c>
      <c r="E192" s="161">
        <v>3637</v>
      </c>
      <c r="F192" s="161">
        <f t="shared" si="28"/>
        <v>8815</v>
      </c>
      <c r="G192" s="162"/>
      <c r="H192" s="162">
        <v>5216</v>
      </c>
      <c r="I192" s="162">
        <v>3599</v>
      </c>
      <c r="J192" s="162"/>
      <c r="K192" s="162"/>
      <c r="L192" s="162"/>
      <c r="M192" s="161"/>
      <c r="N192" s="161"/>
      <c r="O192" s="161"/>
      <c r="P192" s="161"/>
      <c r="Q192" s="161"/>
    </row>
    <row r="193" spans="1:17" ht="15" customHeight="1">
      <c r="A193" s="167" t="s">
        <v>157</v>
      </c>
      <c r="B193" s="160">
        <f t="shared" si="26"/>
        <v>115257</v>
      </c>
      <c r="C193" s="161">
        <f t="shared" si="30"/>
        <v>82078</v>
      </c>
      <c r="D193" s="161">
        <v>66476</v>
      </c>
      <c r="E193" s="161">
        <v>15602</v>
      </c>
      <c r="F193" s="161">
        <f t="shared" si="28"/>
        <v>33179</v>
      </c>
      <c r="G193" s="162"/>
      <c r="H193" s="162">
        <v>23134</v>
      </c>
      <c r="I193" s="162">
        <v>10045</v>
      </c>
      <c r="J193" s="162"/>
      <c r="K193" s="162"/>
      <c r="L193" s="162"/>
      <c r="M193" s="161"/>
      <c r="N193" s="161"/>
      <c r="O193" s="161"/>
      <c r="P193" s="161"/>
      <c r="Q193" s="161"/>
    </row>
    <row r="194" spans="1:17" ht="15" customHeight="1">
      <c r="A194" s="167" t="s">
        <v>156</v>
      </c>
      <c r="B194" s="160">
        <f t="shared" si="26"/>
        <v>51325</v>
      </c>
      <c r="C194" s="161">
        <f t="shared" si="30"/>
        <v>33178</v>
      </c>
      <c r="D194" s="161">
        <v>26887</v>
      </c>
      <c r="E194" s="161">
        <v>6291</v>
      </c>
      <c r="F194" s="161">
        <f t="shared" si="28"/>
        <v>18147</v>
      </c>
      <c r="G194" s="162"/>
      <c r="H194" s="162">
        <v>9726</v>
      </c>
      <c r="I194" s="162">
        <v>8421</v>
      </c>
      <c r="J194" s="162"/>
      <c r="K194" s="162"/>
      <c r="L194" s="162"/>
      <c r="M194" s="161"/>
      <c r="N194" s="161"/>
      <c r="O194" s="161"/>
      <c r="P194" s="161"/>
      <c r="Q194" s="161"/>
    </row>
    <row r="195" spans="1:17" ht="30" customHeight="1">
      <c r="A195" s="164" t="s">
        <v>160</v>
      </c>
      <c r="B195" s="160">
        <f t="shared" si="26"/>
        <v>33974</v>
      </c>
      <c r="C195" s="161">
        <f t="shared" si="30"/>
        <v>24748</v>
      </c>
      <c r="D195" s="161">
        <v>19812</v>
      </c>
      <c r="E195" s="161">
        <v>4936</v>
      </c>
      <c r="F195" s="161">
        <f t="shared" si="28"/>
        <v>9226</v>
      </c>
      <c r="G195" s="162"/>
      <c r="H195" s="162">
        <v>4396</v>
      </c>
      <c r="I195" s="162">
        <v>4830</v>
      </c>
      <c r="J195" s="162"/>
      <c r="K195" s="162"/>
      <c r="L195" s="162"/>
      <c r="M195" s="161"/>
      <c r="N195" s="161"/>
      <c r="O195" s="161"/>
      <c r="P195" s="161"/>
      <c r="Q195" s="161"/>
    </row>
    <row r="196" spans="1:17" ht="30" customHeight="1">
      <c r="A196" s="164" t="s">
        <v>158</v>
      </c>
      <c r="B196" s="160">
        <f t="shared" si="26"/>
        <v>67372</v>
      </c>
      <c r="C196" s="161">
        <f t="shared" si="30"/>
        <v>40124</v>
      </c>
      <c r="D196" s="161">
        <v>31977</v>
      </c>
      <c r="E196" s="161">
        <v>8147</v>
      </c>
      <c r="F196" s="161">
        <f t="shared" si="28"/>
        <v>27248</v>
      </c>
      <c r="G196" s="162"/>
      <c r="H196" s="162">
        <v>13013</v>
      </c>
      <c r="I196" s="162">
        <v>14235</v>
      </c>
      <c r="J196" s="162"/>
      <c r="K196" s="162"/>
      <c r="L196" s="162"/>
      <c r="M196" s="161"/>
      <c r="N196" s="161"/>
      <c r="O196" s="161"/>
      <c r="P196" s="161"/>
      <c r="Q196" s="161"/>
    </row>
    <row r="197" spans="1:17" ht="62.1" customHeight="1">
      <c r="A197" s="164" t="s">
        <v>231</v>
      </c>
      <c r="B197" s="160">
        <f>SUM(C197:F197,M197:Q197)</f>
        <v>7745</v>
      </c>
      <c r="C197" s="161"/>
      <c r="D197" s="161"/>
      <c r="E197" s="161"/>
      <c r="F197" s="161">
        <f t="shared" si="28"/>
        <v>0</v>
      </c>
      <c r="G197" s="162"/>
      <c r="H197" s="162"/>
      <c r="I197" s="162"/>
      <c r="J197" s="162"/>
      <c r="K197" s="162"/>
      <c r="L197" s="162"/>
      <c r="M197" s="161">
        <v>7745</v>
      </c>
      <c r="N197" s="161"/>
      <c r="O197" s="161"/>
      <c r="P197" s="161"/>
      <c r="Q197" s="161"/>
    </row>
    <row r="198" spans="1:17" ht="20.25" customHeight="1">
      <c r="A198" s="163" t="s">
        <v>179</v>
      </c>
      <c r="B198" s="160">
        <f>SUM(C198+F198,M198:Q198)</f>
        <v>56506</v>
      </c>
      <c r="C198" s="171">
        <f>D198+E198</f>
        <v>51783</v>
      </c>
      <c r="D198" s="171">
        <v>42042</v>
      </c>
      <c r="E198" s="171">
        <v>9741</v>
      </c>
      <c r="F198" s="161">
        <f t="shared" si="28"/>
        <v>4723</v>
      </c>
      <c r="G198" s="181">
        <v>32</v>
      </c>
      <c r="H198" s="181">
        <v>1420</v>
      </c>
      <c r="I198" s="181">
        <v>3271</v>
      </c>
      <c r="J198" s="181"/>
      <c r="K198" s="181"/>
      <c r="L198" s="181"/>
      <c r="M198" s="171"/>
      <c r="N198" s="171"/>
      <c r="O198" s="171"/>
      <c r="P198" s="171"/>
      <c r="Q198" s="171">
        <v>0</v>
      </c>
    </row>
    <row r="199" spans="1:17" ht="21.75" customHeight="1">
      <c r="A199" s="163" t="s">
        <v>180</v>
      </c>
      <c r="B199" s="160">
        <f>SUM(C199+F199,M199:Q199)</f>
        <v>36083</v>
      </c>
      <c r="C199" s="171">
        <f>D199+E199</f>
        <v>800</v>
      </c>
      <c r="D199" s="171">
        <v>800</v>
      </c>
      <c r="E199" s="171">
        <v>0</v>
      </c>
      <c r="F199" s="161">
        <f t="shared" si="28"/>
        <v>35283</v>
      </c>
      <c r="G199" s="181">
        <v>0</v>
      </c>
      <c r="H199" s="181">
        <v>24040</v>
      </c>
      <c r="I199" s="181">
        <v>11243</v>
      </c>
      <c r="J199" s="181"/>
      <c r="K199" s="181"/>
      <c r="L199" s="181"/>
      <c r="M199" s="171"/>
      <c r="N199" s="171"/>
      <c r="O199" s="171"/>
      <c r="P199" s="171"/>
      <c r="Q199" s="171"/>
    </row>
    <row r="200" spans="1:17" ht="30" customHeight="1">
      <c r="A200" s="164" t="s">
        <v>42</v>
      </c>
      <c r="B200" s="160">
        <f>SUM(C200+F200,M200:Q200)</f>
        <v>62508</v>
      </c>
      <c r="C200" s="161">
        <f>D200+E200</f>
        <v>500</v>
      </c>
      <c r="D200" s="161">
        <v>500</v>
      </c>
      <c r="E200" s="161"/>
      <c r="F200" s="161">
        <f>SUM(G200:K200)</f>
        <v>61008</v>
      </c>
      <c r="G200" s="162"/>
      <c r="H200" s="162">
        <v>44700</v>
      </c>
      <c r="I200" s="162">
        <v>16300</v>
      </c>
      <c r="J200" s="162"/>
      <c r="K200" s="162">
        <v>8</v>
      </c>
      <c r="L200" s="162"/>
      <c r="M200" s="161"/>
      <c r="N200" s="161"/>
      <c r="O200" s="161"/>
      <c r="P200" s="166">
        <v>1000</v>
      </c>
      <c r="Q200" s="161"/>
    </row>
    <row r="201" spans="1:17" ht="15" customHeight="1">
      <c r="A201" s="164" t="s">
        <v>43</v>
      </c>
      <c r="B201" s="160">
        <f t="shared" si="31" ref="B201:B207">=SUM(C201+F201,M201:Q201)</f>
        <v>1028984</v>
      </c>
      <c r="C201" s="161">
        <f t="shared" si="32" ref="C201:C206">=D201+E201</f>
        <v>884620</v>
      </c>
      <c r="D201" s="161">
        <f>205853+332299+180571-4448</f>
        <v>714275</v>
      </c>
      <c r="E201" s="161">
        <f>50408+78389+42597-1049</f>
        <v>170345</v>
      </c>
      <c r="F201" s="161">
        <f>SUM(G201:L201)</f>
        <v>117364</v>
      </c>
      <c r="G201" s="162"/>
      <c r="H201" s="162">
        <v>46839</v>
      </c>
      <c r="I201" s="162">
        <v>70525</v>
      </c>
      <c r="J201" s="162"/>
      <c r="K201" s="162"/>
      <c r="L201" s="162"/>
      <c r="M201" s="161"/>
      <c r="N201" s="161"/>
      <c r="O201" s="161">
        <v>27000</v>
      </c>
      <c r="P201" s="161"/>
      <c r="Q201" s="161"/>
    </row>
    <row r="202" spans="1:17" ht="15" customHeight="1">
      <c r="A202" s="164" t="s">
        <v>44</v>
      </c>
      <c r="B202" s="160">
        <f t="shared" si="31"/>
        <v>668890</v>
      </c>
      <c r="C202" s="161">
        <f t="shared" si="32"/>
        <v>591663</v>
      </c>
      <c r="D202" s="161">
        <f>133751+248476+66089-1236</f>
        <v>447080</v>
      </c>
      <c r="E202" s="161">
        <f>70668+58616+15591-292</f>
        <v>144583</v>
      </c>
      <c r="F202" s="161">
        <f>SUM(G202:K202)</f>
        <v>77227</v>
      </c>
      <c r="G202" s="162"/>
      <c r="H202" s="162">
        <v>30701</v>
      </c>
      <c r="I202" s="162">
        <v>46526</v>
      </c>
      <c r="J202" s="162"/>
      <c r="K202" s="162"/>
      <c r="L202" s="162"/>
      <c r="M202" s="161"/>
      <c r="N202" s="161"/>
      <c r="O202" s="161"/>
      <c r="P202" s="161"/>
      <c r="Q202" s="161"/>
    </row>
    <row r="203" spans="1:17" ht="15" customHeight="1">
      <c r="A203" s="164" t="s">
        <v>45</v>
      </c>
      <c r="B203" s="160">
        <f t="shared" si="31"/>
        <v>126048</v>
      </c>
      <c r="C203" s="161">
        <f t="shared" si="32"/>
        <v>117675</v>
      </c>
      <c r="D203" s="161">
        <f>33320+51917+9968</f>
        <v>95205</v>
      </c>
      <c r="E203" s="161">
        <f>7871+12247+2352</f>
        <v>22470</v>
      </c>
      <c r="F203" s="161">
        <f>SUM(G203:L203)</f>
        <v>8373</v>
      </c>
      <c r="G203" s="162"/>
      <c r="H203" s="162">
        <v>1049</v>
      </c>
      <c r="I203" s="162">
        <v>7324</v>
      </c>
      <c r="J203" s="162"/>
      <c r="K203" s="162"/>
      <c r="L203" s="162"/>
      <c r="M203" s="161"/>
      <c r="N203" s="161"/>
      <c r="O203" s="161"/>
      <c r="P203" s="161"/>
      <c r="Q203" s="161"/>
    </row>
    <row r="204" spans="1:17" ht="15" customHeight="1">
      <c r="A204" s="164" t="s">
        <v>46</v>
      </c>
      <c r="B204" s="160">
        <f t="shared" si="31"/>
        <v>350314</v>
      </c>
      <c r="C204" s="161">
        <f t="shared" si="32"/>
        <v>320238</v>
      </c>
      <c r="D204" s="161">
        <f>113286+115815+29627</f>
        <v>258728</v>
      </c>
      <c r="E204" s="161">
        <f>27200+27321+6989</f>
        <v>61510</v>
      </c>
      <c r="F204" s="161">
        <f t="shared" si="33" ref="F204:F208">=SUM(G204:K204)</f>
        <v>30076</v>
      </c>
      <c r="G204" s="162"/>
      <c r="H204" s="162">
        <v>7862</v>
      </c>
      <c r="I204" s="162">
        <v>22214</v>
      </c>
      <c r="J204" s="162"/>
      <c r="K204" s="162"/>
      <c r="L204" s="162"/>
      <c r="M204" s="161"/>
      <c r="N204" s="161"/>
      <c r="O204" s="161"/>
      <c r="P204" s="161"/>
      <c r="Q204" s="161"/>
    </row>
    <row r="205" spans="1:17" ht="30" customHeight="1">
      <c r="A205" s="164" t="s">
        <v>166</v>
      </c>
      <c r="B205" s="160">
        <f>SUM(C205+F205,M205:Q205)</f>
        <v>292626</v>
      </c>
      <c r="C205" s="161">
        <f t="shared" si="32"/>
        <v>262821</v>
      </c>
      <c r="D205" s="161">
        <f>66002+115671+33578-2330</f>
        <v>212921</v>
      </c>
      <c r="E205" s="161">
        <f>15242+27287+7921-550</f>
        <v>49900</v>
      </c>
      <c r="F205" s="161">
        <f t="shared" si="33"/>
        <v>27305</v>
      </c>
      <c r="G205" s="162"/>
      <c r="H205" s="162">
        <v>8320</v>
      </c>
      <c r="I205" s="162">
        <v>18985</v>
      </c>
      <c r="J205" s="162"/>
      <c r="K205" s="162"/>
      <c r="L205" s="162"/>
      <c r="M205" s="161"/>
      <c r="N205" s="161"/>
      <c r="O205" s="161">
        <v>2500</v>
      </c>
      <c r="P205" s="161"/>
      <c r="Q205" s="161"/>
    </row>
    <row r="206" spans="1:17" ht="30" customHeight="1">
      <c r="A206" s="164" t="s">
        <v>167</v>
      </c>
      <c r="B206" s="160">
        <f t="shared" si="31"/>
        <v>153371</v>
      </c>
      <c r="C206" s="161">
        <f t="shared" si="32"/>
        <v>124971</v>
      </c>
      <c r="D206" s="161">
        <f>38534+48829+13677</f>
        <v>101040</v>
      </c>
      <c r="E206" s="161">
        <f>9185+11519+3227</f>
        <v>23931</v>
      </c>
      <c r="F206" s="161">
        <f t="shared" si="33"/>
        <v>28400</v>
      </c>
      <c r="G206" s="162"/>
      <c r="H206" s="162">
        <v>6181</v>
      </c>
      <c r="I206" s="162">
        <v>22219</v>
      </c>
      <c r="J206" s="162"/>
      <c r="K206" s="162"/>
      <c r="L206" s="162"/>
      <c r="M206" s="161"/>
      <c r="N206" s="161"/>
      <c r="O206" s="161"/>
      <c r="P206" s="161"/>
      <c r="Q206" s="161"/>
    </row>
    <row r="207" spans="1:17" ht="15" customHeight="1">
      <c r="A207" s="164" t="s">
        <v>83</v>
      </c>
      <c r="B207" s="160">
        <f t="shared" si="31"/>
        <v>1237293</v>
      </c>
      <c r="C207" s="161">
        <f>E207+D207</f>
        <v>875919</v>
      </c>
      <c r="D207" s="161">
        <f>150768+13739+14092+531868-6124</f>
        <v>704343</v>
      </c>
      <c r="E207" s="161">
        <f>40988+3241+3324+125468-1445</f>
        <v>171576</v>
      </c>
      <c r="F207" s="161">
        <f t="shared" si="33"/>
        <v>361374</v>
      </c>
      <c r="G207" s="162">
        <v>400</v>
      </c>
      <c r="H207" s="162">
        <v>97742</v>
      </c>
      <c r="I207" s="162">
        <v>263232</v>
      </c>
      <c r="J207" s="162"/>
      <c r="K207" s="162"/>
      <c r="L207" s="162"/>
      <c r="M207" s="161"/>
      <c r="N207" s="161"/>
      <c r="O207" s="161"/>
      <c r="P207" s="161"/>
      <c r="Q207" s="161"/>
    </row>
    <row r="208" spans="1:17" ht="15" customHeight="1">
      <c r="A208" s="164" t="s">
        <v>174</v>
      </c>
      <c r="B208" s="160">
        <f>SUM(C208+F208,M208:Q208)</f>
        <v>495717</v>
      </c>
      <c r="C208" s="161">
        <f>D208+E208</f>
        <v>414843</v>
      </c>
      <c r="D208" s="161">
        <f>166995+37835+85592+4932+13677+22041-4864</f>
        <v>326208</v>
      </c>
      <c r="E208" s="161">
        <f>51076+8925+20192+1164+3227+5199-1148</f>
        <v>88635</v>
      </c>
      <c r="F208" s="161">
        <f t="shared" si="33"/>
        <v>79874</v>
      </c>
      <c r="G208" s="162">
        <v>40</v>
      </c>
      <c r="H208" s="162">
        <v>15219</v>
      </c>
      <c r="I208" s="162">
        <v>64377</v>
      </c>
      <c r="J208" s="162"/>
      <c r="K208" s="162">
        <v>238</v>
      </c>
      <c r="L208" s="162"/>
      <c r="M208" s="161"/>
      <c r="N208" s="161"/>
      <c r="O208" s="161">
        <v>1000</v>
      </c>
      <c r="P208" s="161"/>
      <c r="Q208" s="161"/>
    </row>
    <row r="209" spans="1:17" ht="30" customHeight="1">
      <c r="A209" s="164" t="s">
        <v>235</v>
      </c>
      <c r="B209" s="160">
        <f>SUM(C209+F209,M209:Q209)</f>
        <v>27684</v>
      </c>
      <c r="C209" s="161">
        <f>D209+E209</f>
        <v>22617</v>
      </c>
      <c r="D209" s="161">
        <f>9500+8782</f>
        <v>18282</v>
      </c>
      <c r="E209" s="161">
        <f>2262+2073</f>
        <v>4335</v>
      </c>
      <c r="F209" s="161">
        <f>SUM(G209:L209)</f>
        <v>5067</v>
      </c>
      <c r="G209" s="162"/>
      <c r="H209" s="162">
        <v>1627</v>
      </c>
      <c r="I209" s="162">
        <v>3315</v>
      </c>
      <c r="J209" s="162"/>
      <c r="K209" s="162">
        <v>125</v>
      </c>
      <c r="L209" s="162"/>
      <c r="M209" s="166"/>
      <c r="N209" s="166"/>
      <c r="O209" s="166"/>
      <c r="P209" s="166"/>
      <c r="Q209" s="161"/>
    </row>
    <row r="210" spans="1:17" ht="15" customHeight="1">
      <c r="A210" s="173" t="s">
        <v>168</v>
      </c>
      <c r="B210" s="160">
        <f t="shared" si="34" ref="B210:B225">=SUM(C210+F210,M210:Q210)</f>
        <v>520166</v>
      </c>
      <c r="C210" s="182">
        <f t="shared" si="35" ref="C210:C232">=D210+E210</f>
        <v>468822</v>
      </c>
      <c r="D210" s="171">
        <f>131068+8829+173522+1761+9774+44640+12846-3500</f>
        <v>378940</v>
      </c>
      <c r="E210" s="171">
        <f>31409+2083+40934+415+2306+10531+3030-826</f>
        <v>89882</v>
      </c>
      <c r="F210" s="161">
        <f t="shared" si="36" ref="F210:F228">=SUM(G210:K210)</f>
        <v>49944</v>
      </c>
      <c r="G210" s="179"/>
      <c r="H210" s="179">
        <v>14862</v>
      </c>
      <c r="I210" s="179">
        <v>34983</v>
      </c>
      <c r="J210" s="179">
        <v>99</v>
      </c>
      <c r="K210" s="179"/>
      <c r="L210" s="179"/>
      <c r="M210" s="180"/>
      <c r="N210" s="180"/>
      <c r="O210" s="180">
        <v>1400</v>
      </c>
      <c r="P210" s="180"/>
      <c r="Q210" s="180"/>
    </row>
    <row r="211" spans="1:17" ht="15" customHeight="1">
      <c r="A211" s="167" t="s">
        <v>47</v>
      </c>
      <c r="B211" s="160">
        <f t="shared" si="34"/>
        <v>405679</v>
      </c>
      <c r="C211" s="161">
        <f t="shared" si="35"/>
        <v>359134</v>
      </c>
      <c r="D211" s="161">
        <f>124760+9774+3521+153572-1124</f>
        <v>290503</v>
      </c>
      <c r="E211" s="161">
        <f>29531+2306+831+36228-265</f>
        <v>68631</v>
      </c>
      <c r="F211" s="161">
        <f t="shared" si="36"/>
        <v>46125</v>
      </c>
      <c r="G211" s="162"/>
      <c r="H211" s="162">
        <v>17990</v>
      </c>
      <c r="I211" s="162">
        <v>27861</v>
      </c>
      <c r="J211" s="162"/>
      <c r="K211" s="162">
        <v>274</v>
      </c>
      <c r="L211" s="162"/>
      <c r="M211" s="161"/>
      <c r="N211" s="161"/>
      <c r="O211" s="161">
        <v>420</v>
      </c>
      <c r="P211" s="161"/>
      <c r="Q211" s="161"/>
    </row>
    <row r="212" spans="1:17" ht="15" customHeight="1">
      <c r="A212" s="164" t="s">
        <v>236</v>
      </c>
      <c r="B212" s="160">
        <f t="shared" si="34"/>
        <v>663556</v>
      </c>
      <c r="C212" s="161">
        <f t="shared" si="35"/>
        <v>592296</v>
      </c>
      <c r="D212" s="161">
        <f>135711+22320+8104+242117+54684+14810+6078-6502</f>
        <v>477322</v>
      </c>
      <c r="E212" s="161">
        <f>34398+5265+1912+57115+12890+3494+1434-1534</f>
        <v>114974</v>
      </c>
      <c r="F212" s="161">
        <f t="shared" si="36"/>
        <v>70760</v>
      </c>
      <c r="G212" s="162">
        <v>30</v>
      </c>
      <c r="H212" s="162">
        <v>23572</v>
      </c>
      <c r="I212" s="162">
        <v>47158</v>
      </c>
      <c r="J212" s="162"/>
      <c r="K212" s="162"/>
      <c r="L212" s="162"/>
      <c r="M212" s="161"/>
      <c r="N212" s="161"/>
      <c r="O212" s="161">
        <v>500</v>
      </c>
      <c r="P212" s="161"/>
      <c r="Q212" s="161"/>
    </row>
    <row r="213" spans="1:17" ht="30" customHeight="1">
      <c r="A213" s="164" t="s">
        <v>238</v>
      </c>
      <c r="B213" s="160">
        <f t="shared" si="34"/>
        <v>150888</v>
      </c>
      <c r="C213" s="161">
        <f t="shared" si="35"/>
        <v>128556</v>
      </c>
      <c r="D213" s="161">
        <f>52056+50820</f>
        <v>102876</v>
      </c>
      <c r="E213" s="161">
        <f>13692+11988</f>
        <v>25680</v>
      </c>
      <c r="F213" s="161">
        <f t="shared" si="36"/>
        <v>22332</v>
      </c>
      <c r="G213" s="162"/>
      <c r="H213" s="162">
        <v>5967</v>
      </c>
      <c r="I213" s="162">
        <v>16365</v>
      </c>
      <c r="J213" s="162"/>
      <c r="K213" s="162"/>
      <c r="L213" s="162"/>
      <c r="M213" s="161"/>
      <c r="N213" s="161"/>
      <c r="O213" s="161"/>
      <c r="P213" s="161"/>
      <c r="Q213" s="161"/>
    </row>
    <row r="214" spans="1:17" ht="30" customHeight="1">
      <c r="A214" s="167" t="s">
        <v>237</v>
      </c>
      <c r="B214" s="160">
        <f t="shared" si="34"/>
        <v>111416</v>
      </c>
      <c r="C214" s="161">
        <f t="shared" si="35"/>
        <v>94018</v>
      </c>
      <c r="D214" s="161">
        <f>38834+36731</f>
        <v>75565</v>
      </c>
      <c r="E214" s="161">
        <f>9788+8665</f>
        <v>18453</v>
      </c>
      <c r="F214" s="161">
        <f t="shared" si="36"/>
        <v>17398</v>
      </c>
      <c r="G214" s="162"/>
      <c r="H214" s="162">
        <v>11603</v>
      </c>
      <c r="I214" s="162">
        <v>5795</v>
      </c>
      <c r="J214" s="162"/>
      <c r="K214" s="162"/>
      <c r="L214" s="162"/>
      <c r="M214" s="161"/>
      <c r="N214" s="161"/>
      <c r="O214" s="161"/>
      <c r="P214" s="161"/>
      <c r="Q214" s="161"/>
    </row>
    <row r="215" spans="1:17" ht="15" customHeight="1">
      <c r="A215" s="167" t="s">
        <v>164</v>
      </c>
      <c r="B215" s="160">
        <f t="shared" si="34"/>
        <v>472479</v>
      </c>
      <c r="C215" s="161">
        <f>D215+E215</f>
        <v>439738</v>
      </c>
      <c r="D215" s="161">
        <f>116483+128878+29498+3877+72336+4563</f>
        <v>355635</v>
      </c>
      <c r="E215" s="161">
        <f>27687+30402+915+6958+17064+1077</f>
        <v>84103</v>
      </c>
      <c r="F215" s="161">
        <f t="shared" si="36"/>
        <v>32573</v>
      </c>
      <c r="G215" s="162">
        <v>0</v>
      </c>
      <c r="H215" s="162">
        <v>11302</v>
      </c>
      <c r="I215" s="162">
        <v>21031</v>
      </c>
      <c r="J215" s="162">
        <v>55</v>
      </c>
      <c r="K215" s="162">
        <v>185</v>
      </c>
      <c r="L215" s="162"/>
      <c r="M215" s="161"/>
      <c r="N215" s="161"/>
      <c r="O215" s="161">
        <v>168</v>
      </c>
      <c r="P215" s="161"/>
      <c r="Q215" s="161"/>
    </row>
    <row r="216" spans="1:17" ht="15" customHeight="1">
      <c r="A216" s="167" t="s">
        <v>261</v>
      </c>
      <c r="B216" s="160">
        <f t="shared" si="34"/>
        <v>135915</v>
      </c>
      <c r="C216" s="161">
        <f t="shared" si="35"/>
        <v>96033</v>
      </c>
      <c r="D216" s="161">
        <v>77614</v>
      </c>
      <c r="E216" s="161">
        <v>18419</v>
      </c>
      <c r="F216" s="161">
        <f t="shared" si="36"/>
        <v>39882</v>
      </c>
      <c r="G216" s="162"/>
      <c r="H216" s="162">
        <v>9257</v>
      </c>
      <c r="I216" s="162">
        <v>30575</v>
      </c>
      <c r="J216" s="162">
        <v>50</v>
      </c>
      <c r="K216" s="162"/>
      <c r="L216" s="162"/>
      <c r="M216" s="161"/>
      <c r="N216" s="161"/>
      <c r="O216" s="161"/>
      <c r="P216" s="161"/>
      <c r="Q216" s="161"/>
    </row>
    <row r="217" spans="1:17" ht="15" customHeight="1">
      <c r="A217" s="167" t="s">
        <v>48</v>
      </c>
      <c r="B217" s="160">
        <f t="shared" si="34"/>
        <v>995573</v>
      </c>
      <c r="C217" s="161">
        <f t="shared" si="35"/>
        <v>804743</v>
      </c>
      <c r="D217" s="161">
        <f>212945+8454+35255+407243-13152</f>
        <v>650745</v>
      </c>
      <c r="E217" s="161">
        <f>50721+1994+8317+96069-3103</f>
        <v>153998</v>
      </c>
      <c r="F217" s="161">
        <f t="shared" si="36"/>
        <v>190830</v>
      </c>
      <c r="G217" s="162"/>
      <c r="H217" s="162">
        <v>63186</v>
      </c>
      <c r="I217" s="162">
        <v>127644</v>
      </c>
      <c r="J217" s="162"/>
      <c r="K217" s="162"/>
      <c r="L217" s="162"/>
      <c r="M217" s="161"/>
      <c r="N217" s="161"/>
      <c r="O217" s="161"/>
      <c r="P217" s="161"/>
      <c r="Q217" s="161"/>
    </row>
    <row r="218" spans="1:17" ht="15" customHeight="1">
      <c r="A218" s="167" t="s">
        <v>744</v>
      </c>
      <c r="B218" s="160">
        <f t="shared" si="34"/>
        <v>624512</v>
      </c>
      <c r="C218" s="161">
        <f t="shared" si="35"/>
        <v>514924</v>
      </c>
      <c r="D218" s="161">
        <f>178637+8454+209654+25076-6128</f>
        <v>415693</v>
      </c>
      <c r="E218" s="161">
        <f>43308+1994+49458+5916-1445</f>
        <v>99231</v>
      </c>
      <c r="F218" s="161">
        <f t="shared" si="36"/>
        <v>109588</v>
      </c>
      <c r="G218" s="162">
        <v>160</v>
      </c>
      <c r="H218" s="162">
        <v>35898</v>
      </c>
      <c r="I218" s="162">
        <v>73011</v>
      </c>
      <c r="J218" s="162">
        <v>213</v>
      </c>
      <c r="K218" s="162">
        <v>306</v>
      </c>
      <c r="L218" s="162"/>
      <c r="M218" s="161"/>
      <c r="N218" s="161"/>
      <c r="O218" s="161">
        <v>0</v>
      </c>
      <c r="P218" s="161"/>
      <c r="Q218" s="161"/>
    </row>
    <row r="219" spans="1:17" ht="30" customHeight="1">
      <c r="A219" s="167" t="s">
        <v>59</v>
      </c>
      <c r="B219" s="160">
        <f t="shared" si="34"/>
        <v>882548</v>
      </c>
      <c r="C219" s="161">
        <f t="shared" si="35"/>
        <v>705005</v>
      </c>
      <c r="D219" s="161">
        <f>148405+51888+8803+224911+147261-11394</f>
        <v>569874</v>
      </c>
      <c r="E219" s="161">
        <f>35706+12240+2077+53057+34739-2688</f>
        <v>135131</v>
      </c>
      <c r="F219" s="161">
        <f t="shared" si="36"/>
        <v>166943</v>
      </c>
      <c r="G219" s="162">
        <v>250</v>
      </c>
      <c r="H219" s="162">
        <v>82639</v>
      </c>
      <c r="I219" s="162">
        <v>83938</v>
      </c>
      <c r="J219" s="162"/>
      <c r="K219" s="162">
        <v>116</v>
      </c>
      <c r="L219" s="162"/>
      <c r="M219" s="161"/>
      <c r="N219" s="161"/>
      <c r="O219" s="161">
        <v>0</v>
      </c>
      <c r="P219" s="166">
        <v>10600</v>
      </c>
      <c r="Q219" s="161"/>
    </row>
    <row r="220" spans="1:17" ht="45" customHeight="1">
      <c r="A220" s="167" t="s">
        <v>713</v>
      </c>
      <c r="B220" s="160">
        <f t="shared" si="34"/>
        <v>104447</v>
      </c>
      <c r="C220" s="161">
        <f t="shared" si="35"/>
        <v>48282</v>
      </c>
      <c r="D220" s="161">
        <f>44329-7388</f>
        <v>36941</v>
      </c>
      <c r="E220" s="161">
        <f>13084-1743</f>
        <v>11341</v>
      </c>
      <c r="F220" s="161">
        <f t="shared" si="36"/>
        <v>56165</v>
      </c>
      <c r="G220" s="162">
        <v>40</v>
      </c>
      <c r="H220" s="162">
        <f>48280+6255</f>
        <v>54535</v>
      </c>
      <c r="I220" s="162">
        <v>1590</v>
      </c>
      <c r="J220" s="162"/>
      <c r="K220" s="162"/>
      <c r="L220" s="162"/>
      <c r="M220" s="161"/>
      <c r="N220" s="161"/>
      <c r="O220" s="161"/>
      <c r="P220" s="161"/>
      <c r="Q220" s="161"/>
    </row>
    <row r="221" spans="1:17" ht="15" customHeight="1">
      <c r="A221" s="167" t="s">
        <v>171</v>
      </c>
      <c r="B221" s="160">
        <f t="shared" si="34"/>
        <v>439629</v>
      </c>
      <c r="C221" s="161">
        <f t="shared" si="35"/>
        <v>350880</v>
      </c>
      <c r="D221" s="161">
        <f>95944+30680+48392+39720+75462-6546</f>
        <v>283652</v>
      </c>
      <c r="E221" s="161">
        <f>22948+7237+11416+9370+17802-1545</f>
        <v>67228</v>
      </c>
      <c r="F221" s="161">
        <f t="shared" si="36"/>
        <v>87349</v>
      </c>
      <c r="G221" s="162"/>
      <c r="H221" s="162">
        <f>23526+3327+720</f>
        <v>27573</v>
      </c>
      <c r="I221" s="162">
        <f>43735+350+15133</f>
        <v>59218</v>
      </c>
      <c r="J221" s="162"/>
      <c r="K221" s="162">
        <v>558</v>
      </c>
      <c r="L221" s="162"/>
      <c r="M221" s="161"/>
      <c r="N221" s="161"/>
      <c r="O221" s="161">
        <f>1400</f>
        <v>1400</v>
      </c>
      <c r="P221" s="161"/>
      <c r="Q221" s="161"/>
    </row>
    <row r="222" spans="1:17" ht="15.75" customHeight="1">
      <c r="A222" s="167" t="s">
        <v>163</v>
      </c>
      <c r="B222" s="160">
        <f t="shared" si="34"/>
        <v>653638</v>
      </c>
      <c r="C222" s="161">
        <f t="shared" si="35"/>
        <v>558387</v>
      </c>
      <c r="D222" s="161">
        <f>158345+59529+31491+138891+62186+5638-4612</f>
        <v>451468</v>
      </c>
      <c r="E222" s="161">
        <f>37770+14043+7429+32765+14670+1330-1088</f>
        <v>106919</v>
      </c>
      <c r="F222" s="161">
        <f t="shared" si="36"/>
        <v>94951</v>
      </c>
      <c r="G222" s="162"/>
      <c r="H222" s="162">
        <v>24232</v>
      </c>
      <c r="I222" s="162">
        <v>70509</v>
      </c>
      <c r="J222" s="162"/>
      <c r="K222" s="162">
        <v>210</v>
      </c>
      <c r="L222" s="162"/>
      <c r="M222" s="161"/>
      <c r="N222" s="161"/>
      <c r="O222" s="161">
        <v>300</v>
      </c>
      <c r="P222" s="161"/>
      <c r="Q222" s="161"/>
    </row>
    <row r="223" spans="1:17" ht="15" customHeight="1">
      <c r="A223" s="173" t="s">
        <v>176</v>
      </c>
      <c r="B223" s="160">
        <f t="shared" si="34"/>
        <v>776890</v>
      </c>
      <c r="C223" s="170">
        <f t="shared" si="35"/>
        <v>652824</v>
      </c>
      <c r="D223" s="171">
        <f>207321+17050+67501+7399+196165+38741-6684</f>
        <v>527493</v>
      </c>
      <c r="E223" s="176">
        <f>49804+4022+15923+1745+46275+9139-1577</f>
        <v>125331</v>
      </c>
      <c r="F223" s="161">
        <f t="shared" si="36"/>
        <v>123066</v>
      </c>
      <c r="G223" s="177">
        <v>160</v>
      </c>
      <c r="H223" s="177">
        <v>37273</v>
      </c>
      <c r="I223" s="177">
        <v>85583</v>
      </c>
      <c r="J223" s="177">
        <v>50</v>
      </c>
      <c r="K223" s="177"/>
      <c r="L223" s="177"/>
      <c r="M223" s="172"/>
      <c r="N223" s="172"/>
      <c r="O223" s="172">
        <v>1000</v>
      </c>
      <c r="P223" s="172"/>
      <c r="Q223" s="172"/>
    </row>
    <row r="224" spans="1:17" ht="15" customHeight="1">
      <c r="A224" s="164" t="s">
        <v>49</v>
      </c>
      <c r="B224" s="160">
        <f t="shared" si="34"/>
        <v>518253</v>
      </c>
      <c r="C224" s="161">
        <f t="shared" si="35"/>
        <v>486910</v>
      </c>
      <c r="D224" s="161">
        <v>394927</v>
      </c>
      <c r="E224" s="161">
        <v>91983</v>
      </c>
      <c r="F224" s="161">
        <f t="shared" si="36"/>
        <v>29503</v>
      </c>
      <c r="G224" s="162">
        <v>1520</v>
      </c>
      <c r="H224" s="162">
        <v>19736</v>
      </c>
      <c r="I224" s="162">
        <v>8079</v>
      </c>
      <c r="J224" s="162"/>
      <c r="K224" s="162">
        <v>168</v>
      </c>
      <c r="L224" s="162"/>
      <c r="M224" s="161"/>
      <c r="N224" s="161"/>
      <c r="O224" s="161">
        <v>1840</v>
      </c>
      <c r="P224" s="161"/>
      <c r="Q224" s="161">
        <v>0</v>
      </c>
    </row>
    <row r="225" spans="1:17" ht="15" customHeight="1">
      <c r="A225" s="167" t="s">
        <v>50</v>
      </c>
      <c r="B225" s="160">
        <f t="shared" si="34"/>
        <v>197746</v>
      </c>
      <c r="C225" s="161">
        <f t="shared" si="35"/>
        <v>171685</v>
      </c>
      <c r="D225" s="161">
        <v>137865</v>
      </c>
      <c r="E225" s="161">
        <v>33820</v>
      </c>
      <c r="F225" s="161">
        <f t="shared" si="36"/>
        <v>24861</v>
      </c>
      <c r="G225" s="162">
        <v>106</v>
      </c>
      <c r="H225" s="162">
        <v>13037</v>
      </c>
      <c r="I225" s="162">
        <v>11718</v>
      </c>
      <c r="J225" s="162"/>
      <c r="K225" s="162"/>
      <c r="L225" s="162"/>
      <c r="M225" s="161"/>
      <c r="N225" s="161"/>
      <c r="O225" s="161">
        <v>1200</v>
      </c>
      <c r="P225" s="161"/>
      <c r="Q225" s="161"/>
    </row>
    <row r="226" spans="1:17" ht="15" customHeight="1">
      <c r="A226" s="183" t="s">
        <v>170</v>
      </c>
      <c r="B226" s="160">
        <f t="shared" si="37" ref="B226:B231">=SUM(C226+F226,M226:Q226)</f>
        <v>172520</v>
      </c>
      <c r="C226" s="161">
        <f t="shared" si="35"/>
        <v>155037</v>
      </c>
      <c r="D226" s="161">
        <v>125197</v>
      </c>
      <c r="E226" s="161">
        <v>29840</v>
      </c>
      <c r="F226" s="161">
        <f t="shared" si="36"/>
        <v>15893</v>
      </c>
      <c r="G226" s="162">
        <v>120</v>
      </c>
      <c r="H226" s="162">
        <v>8485</v>
      </c>
      <c r="I226" s="162">
        <v>7215</v>
      </c>
      <c r="J226" s="162">
        <v>73</v>
      </c>
      <c r="K226" s="162"/>
      <c r="L226" s="162"/>
      <c r="M226" s="161"/>
      <c r="N226" s="161"/>
      <c r="O226" s="161">
        <v>1590</v>
      </c>
      <c r="P226" s="161"/>
      <c r="Q226" s="184"/>
    </row>
    <row r="227" spans="1:17" ht="15" customHeight="1">
      <c r="A227" s="167" t="s">
        <v>162</v>
      </c>
      <c r="B227" s="160">
        <f t="shared" si="37"/>
        <v>149994</v>
      </c>
      <c r="C227" s="185">
        <f t="shared" si="35"/>
        <v>143639</v>
      </c>
      <c r="D227" s="161">
        <v>116075</v>
      </c>
      <c r="E227" s="161">
        <v>27564</v>
      </c>
      <c r="F227" s="161">
        <f t="shared" si="36"/>
        <v>5555</v>
      </c>
      <c r="G227" s="162">
        <v>130</v>
      </c>
      <c r="H227" s="162">
        <v>2040</v>
      </c>
      <c r="I227" s="162">
        <v>3385</v>
      </c>
      <c r="J227" s="162"/>
      <c r="K227" s="162"/>
      <c r="L227" s="162"/>
      <c r="M227" s="161"/>
      <c r="N227" s="161"/>
      <c r="O227" s="161">
        <v>800</v>
      </c>
      <c r="P227" s="161"/>
      <c r="Q227" s="161">
        <v>0</v>
      </c>
    </row>
    <row r="228" spans="1:17" ht="15" customHeight="1">
      <c r="A228" s="167" t="s">
        <v>51</v>
      </c>
      <c r="B228" s="160">
        <f>SUM(C228+F228,M228:Q228)</f>
        <v>650011</v>
      </c>
      <c r="C228" s="185">
        <f t="shared" si="35"/>
        <v>576265</v>
      </c>
      <c r="D228" s="161">
        <v>461518</v>
      </c>
      <c r="E228" s="161">
        <v>114747</v>
      </c>
      <c r="F228" s="161">
        <f t="shared" si="36"/>
        <v>73746</v>
      </c>
      <c r="G228" s="162">
        <v>13000</v>
      </c>
      <c r="H228" s="162">
        <v>24966</v>
      </c>
      <c r="I228" s="162">
        <v>35180</v>
      </c>
      <c r="J228" s="162"/>
      <c r="K228" s="162">
        <v>600</v>
      </c>
      <c r="L228" s="162"/>
      <c r="M228" s="161"/>
      <c r="N228" s="161"/>
      <c r="O228" s="161">
        <v>0</v>
      </c>
      <c r="P228" s="161"/>
      <c r="Q228" s="161"/>
    </row>
    <row r="229" spans="1:17" ht="15" customHeight="1">
      <c r="A229" s="167" t="s">
        <v>58</v>
      </c>
      <c r="B229" s="160">
        <f t="shared" si="37"/>
        <v>224247</v>
      </c>
      <c r="C229" s="161">
        <f t="shared" si="35"/>
        <v>90094</v>
      </c>
      <c r="D229" s="161">
        <v>70175</v>
      </c>
      <c r="E229" s="161">
        <v>19919</v>
      </c>
      <c r="F229" s="161">
        <f t="shared" si="38" ref="F229:F244">=SUM(G229:K229)</f>
        <v>134153</v>
      </c>
      <c r="G229" s="162"/>
      <c r="H229" s="162">
        <v>122405</v>
      </c>
      <c r="I229" s="162">
        <v>11748</v>
      </c>
      <c r="J229" s="162"/>
      <c r="K229" s="162"/>
      <c r="L229" s="162"/>
      <c r="M229" s="161"/>
      <c r="N229" s="161"/>
      <c r="O229" s="161"/>
      <c r="P229" s="161"/>
      <c r="Q229" s="161"/>
    </row>
    <row r="230" spans="1:17" ht="30" customHeight="1">
      <c r="A230" s="167" t="s">
        <v>239</v>
      </c>
      <c r="B230" s="160">
        <f t="shared" si="37"/>
        <v>267496</v>
      </c>
      <c r="C230" s="161">
        <f t="shared" si="35"/>
        <v>223565</v>
      </c>
      <c r="D230" s="161">
        <f>130124+21778+28979</f>
        <v>180881</v>
      </c>
      <c r="E230" s="161">
        <f>30710+5138+6836</f>
        <v>42684</v>
      </c>
      <c r="F230" s="161">
        <f t="shared" si="38"/>
        <v>43931</v>
      </c>
      <c r="G230" s="162">
        <v>300</v>
      </c>
      <c r="H230" s="162">
        <v>27551</v>
      </c>
      <c r="I230" s="162">
        <v>16080</v>
      </c>
      <c r="J230" s="162"/>
      <c r="K230" s="162"/>
      <c r="L230" s="162"/>
      <c r="M230" s="161"/>
      <c r="N230" s="161"/>
      <c r="O230" s="161"/>
      <c r="P230" s="161"/>
      <c r="Q230" s="161"/>
    </row>
    <row r="231" spans="1:17" ht="15" customHeight="1">
      <c r="A231" s="167" t="s">
        <v>169</v>
      </c>
      <c r="B231" s="160">
        <f t="shared" si="37"/>
        <v>245793</v>
      </c>
      <c r="C231" s="161">
        <f t="shared" si="35"/>
        <v>236740</v>
      </c>
      <c r="D231" s="161">
        <v>192440</v>
      </c>
      <c r="E231" s="161">
        <v>44300</v>
      </c>
      <c r="F231" s="161">
        <f t="shared" si="38"/>
        <v>9053</v>
      </c>
      <c r="G231" s="162">
        <v>440</v>
      </c>
      <c r="H231" s="162">
        <v>3533</v>
      </c>
      <c r="I231" s="162">
        <v>4930</v>
      </c>
      <c r="J231" s="162"/>
      <c r="K231" s="162">
        <v>150</v>
      </c>
      <c r="L231" s="162"/>
      <c r="M231" s="161"/>
      <c r="N231" s="161"/>
      <c r="O231" s="161">
        <v>0</v>
      </c>
      <c r="P231" s="161"/>
      <c r="Q231" s="161">
        <v>0</v>
      </c>
    </row>
    <row r="232" spans="1:17" ht="15" customHeight="1">
      <c r="A232" s="167" t="s">
        <v>178</v>
      </c>
      <c r="B232" s="160">
        <f>SUM(C232+F232,M232:Q232)</f>
        <v>56980</v>
      </c>
      <c r="C232" s="161">
        <f t="shared" si="35"/>
        <v>8560</v>
      </c>
      <c r="D232" s="161">
        <v>8560</v>
      </c>
      <c r="E232" s="186"/>
      <c r="F232" s="161">
        <f t="shared" si="38"/>
        <v>39420</v>
      </c>
      <c r="G232" s="162">
        <v>1120</v>
      </c>
      <c r="H232" s="162">
        <v>4030</v>
      </c>
      <c r="I232" s="162">
        <v>34270</v>
      </c>
      <c r="J232" s="162"/>
      <c r="K232" s="162"/>
      <c r="L232" s="162"/>
      <c r="M232" s="161"/>
      <c r="N232" s="161"/>
      <c r="O232" s="161"/>
      <c r="P232" s="166">
        <v>9000</v>
      </c>
      <c r="Q232" s="161"/>
    </row>
    <row r="233" spans="1:17" ht="22.5" customHeight="1">
      <c r="A233" s="167" t="s">
        <v>67</v>
      </c>
      <c r="B233" s="160">
        <f>SUM(C233+F233,M233:Q233)</f>
        <v>12789</v>
      </c>
      <c r="C233" s="161"/>
      <c r="D233" s="161"/>
      <c r="E233" s="161"/>
      <c r="F233" s="161">
        <f t="shared" si="38"/>
        <v>12789</v>
      </c>
      <c r="G233" s="162"/>
      <c r="H233" s="162">
        <v>12789</v>
      </c>
      <c r="I233" s="162"/>
      <c r="J233" s="162"/>
      <c r="K233" s="162"/>
      <c r="L233" s="162"/>
      <c r="M233" s="161"/>
      <c r="N233" s="161"/>
      <c r="O233" s="161"/>
      <c r="P233" s="161"/>
      <c r="Q233" s="161"/>
    </row>
    <row r="234" spans="1:17" ht="30" customHeight="1">
      <c r="A234" s="159" t="s">
        <v>211</v>
      </c>
      <c r="B234" s="160">
        <f t="shared" si="39" ref="B234:B244">=SUM(C234+F234,M234:Q234)</f>
        <v>19080</v>
      </c>
      <c r="C234" s="161">
        <f t="shared" si="40" ref="C234:C240">=D234+E234</f>
        <v>7617</v>
      </c>
      <c r="D234" s="161">
        <v>6163</v>
      </c>
      <c r="E234" s="161">
        <v>1454</v>
      </c>
      <c r="F234" s="161">
        <f t="shared" si="38"/>
        <v>11463</v>
      </c>
      <c r="G234" s="162"/>
      <c r="H234" s="162">
        <v>5537</v>
      </c>
      <c r="I234" s="162">
        <v>5670</v>
      </c>
      <c r="J234" s="162"/>
      <c r="K234" s="162">
        <v>256</v>
      </c>
      <c r="L234" s="162"/>
      <c r="M234" s="161"/>
      <c r="N234" s="161"/>
      <c r="O234" s="161"/>
      <c r="P234" s="161"/>
      <c r="Q234" s="184"/>
    </row>
    <row r="235" spans="1:17" ht="30" customHeight="1">
      <c r="A235" s="167" t="s">
        <v>196</v>
      </c>
      <c r="B235" s="160">
        <f t="shared" si="39"/>
        <v>20934</v>
      </c>
      <c r="C235" s="161">
        <f>D235+E235</f>
        <v>14313</v>
      </c>
      <c r="D235" s="161">
        <v>11604</v>
      </c>
      <c r="E235" s="161">
        <v>2709</v>
      </c>
      <c r="F235" s="161">
        <f t="shared" si="38"/>
        <v>6621</v>
      </c>
      <c r="G235" s="162">
        <v>24</v>
      </c>
      <c r="H235" s="162">
        <v>3619</v>
      </c>
      <c r="I235" s="162">
        <v>2858</v>
      </c>
      <c r="J235" s="162"/>
      <c r="K235" s="162">
        <v>120</v>
      </c>
      <c r="L235" s="162"/>
      <c r="M235" s="161"/>
      <c r="N235" s="161"/>
      <c r="O235" s="161"/>
      <c r="P235" s="161"/>
      <c r="Q235" s="161"/>
    </row>
    <row r="236" spans="1:17" ht="30" customHeight="1">
      <c r="A236" s="164" t="s">
        <v>197</v>
      </c>
      <c r="B236" s="160">
        <f t="shared" si="39"/>
        <v>23077</v>
      </c>
      <c r="C236" s="161">
        <f t="shared" si="40"/>
        <v>14717</v>
      </c>
      <c r="D236" s="161">
        <f>11808+100</f>
        <v>11908</v>
      </c>
      <c r="E236" s="161">
        <v>2809</v>
      </c>
      <c r="F236" s="161">
        <f t="shared" si="38"/>
        <v>8360</v>
      </c>
      <c r="G236" s="162">
        <v>80</v>
      </c>
      <c r="H236" s="162">
        <v>3660</v>
      </c>
      <c r="I236" s="162">
        <v>4500</v>
      </c>
      <c r="J236" s="162"/>
      <c r="K236" s="162">
        <v>120</v>
      </c>
      <c r="L236" s="162"/>
      <c r="M236" s="161"/>
      <c r="N236" s="161"/>
      <c r="O236" s="161">
        <v>0</v>
      </c>
      <c r="P236" s="161"/>
      <c r="Q236" s="161"/>
    </row>
    <row r="237" spans="1:17" ht="30" customHeight="1">
      <c r="A237" s="164" t="s">
        <v>193</v>
      </c>
      <c r="B237" s="160">
        <f t="shared" si="39"/>
        <v>27334</v>
      </c>
      <c r="C237" s="161">
        <f t="shared" si="40"/>
        <v>12795</v>
      </c>
      <c r="D237" s="161">
        <v>10272</v>
      </c>
      <c r="E237" s="161">
        <f>2423+100</f>
        <v>2523</v>
      </c>
      <c r="F237" s="161">
        <f t="shared" si="38"/>
        <v>14539</v>
      </c>
      <c r="G237" s="162"/>
      <c r="H237" s="162">
        <v>5306</v>
      </c>
      <c r="I237" s="162">
        <v>9130</v>
      </c>
      <c r="J237" s="162"/>
      <c r="K237" s="162">
        <v>103</v>
      </c>
      <c r="L237" s="162"/>
      <c r="M237" s="161"/>
      <c r="N237" s="161"/>
      <c r="O237" s="161"/>
      <c r="P237" s="161"/>
      <c r="Q237" s="161"/>
    </row>
    <row r="238" spans="1:17" ht="30" customHeight="1">
      <c r="A238" s="164" t="s">
        <v>214</v>
      </c>
      <c r="B238" s="160">
        <f t="shared" si="39"/>
        <v>24564</v>
      </c>
      <c r="C238" s="161">
        <f t="shared" si="40"/>
        <v>13036</v>
      </c>
      <c r="D238" s="161">
        <v>10548</v>
      </c>
      <c r="E238" s="161">
        <v>2488</v>
      </c>
      <c r="F238" s="161">
        <f t="shared" si="38"/>
        <v>11528</v>
      </c>
      <c r="G238" s="162">
        <v>120</v>
      </c>
      <c r="H238" s="162">
        <v>2748</v>
      </c>
      <c r="I238" s="162">
        <v>8540</v>
      </c>
      <c r="J238" s="162"/>
      <c r="K238" s="162">
        <v>120</v>
      </c>
      <c r="L238" s="162"/>
      <c r="M238" s="161"/>
      <c r="N238" s="161"/>
      <c r="O238" s="161"/>
      <c r="P238" s="161"/>
      <c r="Q238" s="161"/>
    </row>
    <row r="239" spans="1:17" ht="30" customHeight="1">
      <c r="A239" s="164" t="s">
        <v>195</v>
      </c>
      <c r="B239" s="160">
        <f t="shared" si="39"/>
        <v>21750</v>
      </c>
      <c r="C239" s="161">
        <f t="shared" si="40"/>
        <v>12117</v>
      </c>
      <c r="D239" s="161">
        <v>9804</v>
      </c>
      <c r="E239" s="161">
        <v>2313</v>
      </c>
      <c r="F239" s="161">
        <f t="shared" si="38"/>
        <v>9633</v>
      </c>
      <c r="G239" s="162">
        <v>180</v>
      </c>
      <c r="H239" s="162">
        <v>5083</v>
      </c>
      <c r="I239" s="162">
        <v>4250</v>
      </c>
      <c r="J239" s="162"/>
      <c r="K239" s="162">
        <v>120</v>
      </c>
      <c r="L239" s="162"/>
      <c r="M239" s="161"/>
      <c r="N239" s="161"/>
      <c r="O239" s="161"/>
      <c r="P239" s="161"/>
      <c r="Q239" s="161"/>
    </row>
    <row r="240" spans="1:17" ht="30" customHeight="1">
      <c r="A240" s="169" t="s">
        <v>203</v>
      </c>
      <c r="B240" s="160">
        <f t="shared" si="39"/>
        <v>94630</v>
      </c>
      <c r="C240" s="170">
        <f t="shared" si="40"/>
        <v>40070</v>
      </c>
      <c r="D240" s="171">
        <v>31098</v>
      </c>
      <c r="E240" s="176">
        <v>8972</v>
      </c>
      <c r="F240" s="161">
        <f t="shared" si="38"/>
        <v>54560</v>
      </c>
      <c r="G240" s="177">
        <v>240</v>
      </c>
      <c r="H240" s="177">
        <v>12160</v>
      </c>
      <c r="I240" s="177">
        <v>41700</v>
      </c>
      <c r="J240" s="177"/>
      <c r="K240" s="177">
        <v>460</v>
      </c>
      <c r="L240" s="177"/>
      <c r="M240" s="172"/>
      <c r="N240" s="172"/>
      <c r="O240" s="172"/>
      <c r="P240" s="172"/>
      <c r="Q240" s="172"/>
    </row>
    <row r="241" spans="1:17" ht="30" customHeight="1">
      <c r="A241" s="164" t="s">
        <v>741</v>
      </c>
      <c r="B241" s="160">
        <f t="shared" si="39"/>
        <v>23705</v>
      </c>
      <c r="C241" s="161">
        <f t="shared" si="41" ref="C241:C246">=D241+E241</f>
        <v>19555</v>
      </c>
      <c r="D241" s="161">
        <v>15822</v>
      </c>
      <c r="E241" s="161">
        <v>3733</v>
      </c>
      <c r="F241" s="161">
        <f t="shared" si="38"/>
        <v>4150</v>
      </c>
      <c r="G241" s="162">
        <v>32</v>
      </c>
      <c r="H241" s="162">
        <v>1953</v>
      </c>
      <c r="I241" s="162">
        <v>1995</v>
      </c>
      <c r="J241" s="162"/>
      <c r="K241" s="162">
        <v>170</v>
      </c>
      <c r="L241" s="162"/>
      <c r="M241" s="161"/>
      <c r="N241" s="161"/>
      <c r="O241" s="161"/>
      <c r="P241" s="161"/>
      <c r="Q241" s="161"/>
    </row>
    <row r="242" spans="1:17" ht="30" customHeight="1">
      <c r="A242" s="164" t="s">
        <v>161</v>
      </c>
      <c r="B242" s="160">
        <f t="shared" si="39"/>
        <v>28644</v>
      </c>
      <c r="C242" s="161">
        <f t="shared" si="41"/>
        <v>12117</v>
      </c>
      <c r="D242" s="161">
        <v>9804</v>
      </c>
      <c r="E242" s="161">
        <v>2313</v>
      </c>
      <c r="F242" s="161">
        <f t="shared" si="38"/>
        <v>16527</v>
      </c>
      <c r="G242" s="162">
        <v>40</v>
      </c>
      <c r="H242" s="162">
        <v>6099</v>
      </c>
      <c r="I242" s="162">
        <v>10232</v>
      </c>
      <c r="J242" s="162"/>
      <c r="K242" s="162">
        <v>156</v>
      </c>
      <c r="L242" s="162"/>
      <c r="M242" s="161"/>
      <c r="N242" s="161"/>
      <c r="O242" s="161"/>
      <c r="P242" s="161"/>
      <c r="Q242" s="161"/>
    </row>
    <row r="243" spans="1:17" ht="20.25" customHeight="1">
      <c r="A243" s="164" t="s">
        <v>216</v>
      </c>
      <c r="B243" s="160">
        <f t="shared" si="39"/>
        <v>35852</v>
      </c>
      <c r="C243" s="161">
        <f t="shared" si="41"/>
        <v>23084</v>
      </c>
      <c r="D243" s="161">
        <f>18648+30</f>
        <v>18678</v>
      </c>
      <c r="E243" s="161">
        <v>4406</v>
      </c>
      <c r="F243" s="161">
        <f t="shared" si="38"/>
        <v>12696</v>
      </c>
      <c r="G243" s="162"/>
      <c r="H243" s="162">
        <v>6301</v>
      </c>
      <c r="I243" s="162">
        <v>5995</v>
      </c>
      <c r="J243" s="162"/>
      <c r="K243" s="162">
        <v>400</v>
      </c>
      <c r="L243" s="162"/>
      <c r="M243" s="161"/>
      <c r="N243" s="161"/>
      <c r="O243" s="161">
        <v>72</v>
      </c>
      <c r="P243" s="161"/>
      <c r="Q243" s="161"/>
    </row>
    <row r="244" spans="1:17" ht="30" customHeight="1">
      <c r="A244" s="164" t="s">
        <v>210</v>
      </c>
      <c r="B244" s="160">
        <f t="shared" si="39"/>
        <v>21643</v>
      </c>
      <c r="C244" s="161">
        <f t="shared" si="41"/>
        <v>12695</v>
      </c>
      <c r="D244" s="161">
        <v>10272</v>
      </c>
      <c r="E244" s="161">
        <v>2423</v>
      </c>
      <c r="F244" s="161">
        <f t="shared" si="38"/>
        <v>8948</v>
      </c>
      <c r="G244" s="162">
        <v>60</v>
      </c>
      <c r="H244" s="162">
        <v>3288</v>
      </c>
      <c r="I244" s="162">
        <v>5196</v>
      </c>
      <c r="J244" s="162"/>
      <c r="K244" s="162">
        <v>404</v>
      </c>
      <c r="L244" s="162"/>
      <c r="M244" s="161"/>
      <c r="N244" s="161"/>
      <c r="O244" s="161"/>
      <c r="P244" s="161"/>
      <c r="Q244" s="161"/>
    </row>
    <row r="245" spans="1:17" ht="19.5" customHeight="1">
      <c r="A245" s="164" t="s">
        <v>212</v>
      </c>
      <c r="B245" s="160">
        <f>SUM(C245+F245,M245:Q245)</f>
        <v>24953.98</v>
      </c>
      <c r="C245" s="161">
        <f t="shared" si="41"/>
        <v>13485.98</v>
      </c>
      <c r="D245" s="161">
        <f>10272+640</f>
        <v>10912</v>
      </c>
      <c r="E245" s="161">
        <f>2423+150.98</f>
        <v>2573.98</v>
      </c>
      <c r="F245" s="161">
        <f>SUM(G245:K245)</f>
        <v>11468</v>
      </c>
      <c r="G245" s="162"/>
      <c r="H245" s="162">
        <f>6036+902</f>
        <v>6938</v>
      </c>
      <c r="I245" s="162">
        <f>3750+558</f>
        <v>4308</v>
      </c>
      <c r="J245" s="162"/>
      <c r="K245" s="162">
        <v>222</v>
      </c>
      <c r="L245" s="162"/>
      <c r="M245" s="161"/>
      <c r="N245" s="161"/>
      <c r="O245" s="161"/>
      <c r="P245" s="161"/>
      <c r="Q245" s="161"/>
    </row>
    <row r="246" spans="1:17" ht="30" customHeight="1">
      <c r="A246" s="164" t="s">
        <v>202</v>
      </c>
      <c r="B246" s="160">
        <f>SUM(C246+F246,M246:Q246)</f>
        <v>28778</v>
      </c>
      <c r="C246" s="161">
        <f t="shared" si="41"/>
        <v>13160</v>
      </c>
      <c r="D246" s="161">
        <f>10548+100</f>
        <v>10648</v>
      </c>
      <c r="E246" s="161">
        <v>2512</v>
      </c>
      <c r="F246" s="161">
        <f t="shared" si="42" ref="F246:F271">=SUM(G246:K246)</f>
        <v>15618</v>
      </c>
      <c r="G246" s="162">
        <v>104</v>
      </c>
      <c r="H246" s="162">
        <v>2540</v>
      </c>
      <c r="I246" s="162">
        <v>12774</v>
      </c>
      <c r="J246" s="162"/>
      <c r="K246" s="162">
        <v>200</v>
      </c>
      <c r="L246" s="162"/>
      <c r="M246" s="161"/>
      <c r="N246" s="161"/>
      <c r="O246" s="161"/>
      <c r="P246" s="161"/>
      <c r="Q246" s="161"/>
    </row>
    <row r="247" spans="1:17" ht="30" customHeight="1">
      <c r="A247" s="164" t="s">
        <v>52</v>
      </c>
      <c r="B247" s="160">
        <f t="shared" si="43" ref="B247:B254">=SUM(C247:F247,M247:Q247)</f>
        <v>8000</v>
      </c>
      <c r="C247" s="161"/>
      <c r="D247" s="161"/>
      <c r="E247" s="161"/>
      <c r="F247" s="161">
        <f t="shared" si="42"/>
        <v>0</v>
      </c>
      <c r="G247" s="162"/>
      <c r="H247" s="162"/>
      <c r="I247" s="162"/>
      <c r="J247" s="162"/>
      <c r="K247" s="162"/>
      <c r="L247" s="162"/>
      <c r="M247" s="161"/>
      <c r="N247" s="161"/>
      <c r="O247" s="161"/>
      <c r="P247" s="161">
        <v>8000</v>
      </c>
      <c r="Q247" s="161"/>
    </row>
    <row r="248" spans="1:17" ht="30" customHeight="1">
      <c r="A248" s="163" t="s">
        <v>81</v>
      </c>
      <c r="B248" s="160">
        <f>SUM(C248+F248,M248:Q248)</f>
        <v>140000</v>
      </c>
      <c r="C248" s="161"/>
      <c r="D248" s="161"/>
      <c r="E248" s="161"/>
      <c r="F248" s="161">
        <f t="shared" si="42"/>
        <v>0</v>
      </c>
      <c r="G248" s="162"/>
      <c r="H248" s="162"/>
      <c r="I248" s="162"/>
      <c r="J248" s="162"/>
      <c r="K248" s="162"/>
      <c r="L248" s="162"/>
      <c r="M248" s="161"/>
      <c r="N248" s="161"/>
      <c r="O248" s="161"/>
      <c r="P248" s="161"/>
      <c r="Q248" s="161">
        <v>140000</v>
      </c>
    </row>
    <row r="249" spans="1:17" ht="35.25" customHeight="1">
      <c r="A249" s="163" t="s">
        <v>64</v>
      </c>
      <c r="B249" s="160">
        <f>SUM(C249+F249,M249:Q249)</f>
        <v>3561</v>
      </c>
      <c r="C249" s="161">
        <f>D249+E249</f>
        <v>371</v>
      </c>
      <c r="D249" s="161">
        <v>300</v>
      </c>
      <c r="E249" s="161">
        <v>71</v>
      </c>
      <c r="F249" s="161">
        <f t="shared" si="42"/>
        <v>3190</v>
      </c>
      <c r="G249" s="162"/>
      <c r="H249" s="162"/>
      <c r="I249" s="162">
        <v>3190</v>
      </c>
      <c r="J249" s="162"/>
      <c r="K249" s="162"/>
      <c r="L249" s="162"/>
      <c r="M249" s="161"/>
      <c r="N249" s="161"/>
      <c r="O249" s="161">
        <v>0</v>
      </c>
      <c r="P249" s="161"/>
      <c r="Q249" s="161"/>
    </row>
    <row r="250" spans="1:17" ht="30" customHeight="1">
      <c r="A250" s="163" t="s">
        <v>229</v>
      </c>
      <c r="B250" s="160">
        <f>SUM(C250+F250,M250:Q250)</f>
        <v>26568</v>
      </c>
      <c r="C250" s="161">
        <f>D250+E250</f>
        <v>22246</v>
      </c>
      <c r="D250" s="161">
        <v>18000</v>
      </c>
      <c r="E250" s="161">
        <v>4246</v>
      </c>
      <c r="F250" s="161">
        <f t="shared" si="42"/>
        <v>4322</v>
      </c>
      <c r="G250" s="162"/>
      <c r="H250" s="162"/>
      <c r="I250" s="162">
        <v>4322</v>
      </c>
      <c r="J250" s="162"/>
      <c r="K250" s="162"/>
      <c r="L250" s="162"/>
      <c r="M250" s="161">
        <v>0</v>
      </c>
      <c r="N250" s="161"/>
      <c r="O250" s="161"/>
      <c r="P250" s="161"/>
      <c r="Q250" s="161"/>
    </row>
    <row r="251" spans="1:17" ht="30" customHeight="1">
      <c r="A251" s="164" t="s">
        <v>165</v>
      </c>
      <c r="B251" s="160">
        <f>SUM(C251+F251,M251:Q251)</f>
        <v>58588</v>
      </c>
      <c r="C251" s="161">
        <f>D251+E251</f>
        <v>43280</v>
      </c>
      <c r="D251" s="161">
        <v>35000</v>
      </c>
      <c r="E251" s="161">
        <v>8280</v>
      </c>
      <c r="F251" s="161">
        <f t="shared" si="42"/>
        <v>12308</v>
      </c>
      <c r="G251" s="162"/>
      <c r="H251" s="162"/>
      <c r="I251" s="162">
        <v>12308</v>
      </c>
      <c r="J251" s="162"/>
      <c r="K251" s="162"/>
      <c r="L251" s="162"/>
      <c r="M251" s="161"/>
      <c r="N251" s="161"/>
      <c r="O251" s="161">
        <v>3000</v>
      </c>
      <c r="P251" s="161"/>
      <c r="Q251" s="161"/>
    </row>
    <row r="252" spans="1:17" ht="45" customHeight="1">
      <c r="A252" s="173" t="s">
        <v>777</v>
      </c>
      <c r="B252" s="160">
        <f t="shared" si="44" ref="B252">=SUM(C252+F252,M252:Q252)</f>
        <v>26232</v>
      </c>
      <c r="C252" s="170"/>
      <c r="D252" s="171"/>
      <c r="E252" s="176"/>
      <c r="F252" s="161">
        <f t="shared" si="42"/>
        <v>26232</v>
      </c>
      <c r="G252" s="177">
        <v>17536</v>
      </c>
      <c r="H252" s="177">
        <v>6152</v>
      </c>
      <c r="I252" s="177">
        <v>2544</v>
      </c>
      <c r="J252" s="177"/>
      <c r="K252" s="177"/>
      <c r="L252" s="177"/>
      <c r="M252" s="172"/>
      <c r="N252" s="172"/>
      <c r="O252" s="172"/>
      <c r="P252" s="172"/>
      <c r="Q252" s="172"/>
    </row>
    <row r="253" spans="1:17" ht="45" customHeight="1">
      <c r="A253" s="159" t="s">
        <v>262</v>
      </c>
      <c r="B253" s="160">
        <f t="shared" si="43"/>
        <v>8901</v>
      </c>
      <c r="C253" s="161"/>
      <c r="D253" s="161"/>
      <c r="E253" s="161"/>
      <c r="F253" s="161">
        <f t="shared" si="42"/>
        <v>8901</v>
      </c>
      <c r="G253" s="162"/>
      <c r="H253" s="162">
        <v>8901</v>
      </c>
      <c r="I253" s="162"/>
      <c r="J253" s="162"/>
      <c r="K253" s="162"/>
      <c r="L253" s="162"/>
      <c r="M253" s="161"/>
      <c r="N253" s="161"/>
      <c r="O253" s="161"/>
      <c r="P253" s="161"/>
      <c r="Q253" s="161"/>
    </row>
    <row r="254" spans="1:17" ht="54" customHeight="1">
      <c r="A254" s="159" t="s">
        <v>775</v>
      </c>
      <c r="B254" s="160">
        <f t="shared" si="43"/>
        <v>3555</v>
      </c>
      <c r="C254" s="161"/>
      <c r="D254" s="161"/>
      <c r="E254" s="161"/>
      <c r="F254" s="161">
        <f t="shared" si="42"/>
        <v>3555</v>
      </c>
      <c r="G254" s="162"/>
      <c r="H254" s="162">
        <v>3555</v>
      </c>
      <c r="I254" s="162"/>
      <c r="J254" s="162"/>
      <c r="K254" s="162"/>
      <c r="L254" s="162"/>
      <c r="M254" s="161"/>
      <c r="N254" s="161"/>
      <c r="O254" s="161"/>
      <c r="P254" s="161"/>
      <c r="Q254" s="161"/>
    </row>
    <row r="255" spans="1:17" ht="19.5" customHeight="1">
      <c r="A255" s="159" t="s">
        <v>255</v>
      </c>
      <c r="B255" s="160">
        <f t="shared" si="45" ref="B255:B259">=SUM(C255+F255,M255:Q255)</f>
        <v>37317</v>
      </c>
      <c r="C255" s="161"/>
      <c r="D255" s="161"/>
      <c r="E255" s="161"/>
      <c r="F255" s="161">
        <f t="shared" si="42"/>
        <v>0</v>
      </c>
      <c r="G255" s="162"/>
      <c r="H255" s="162"/>
      <c r="I255" s="162"/>
      <c r="J255" s="162"/>
      <c r="K255" s="162"/>
      <c r="L255" s="162"/>
      <c r="M255" s="161"/>
      <c r="N255" s="161"/>
      <c r="O255" s="161">
        <v>37317</v>
      </c>
      <c r="P255" s="161"/>
      <c r="Q255" s="161"/>
    </row>
    <row r="256" spans="1:17" ht="45.75" customHeight="1">
      <c r="A256" s="159" t="s">
        <v>253</v>
      </c>
      <c r="B256" s="160">
        <f t="shared" si="45"/>
        <v>96710</v>
      </c>
      <c r="C256" s="161"/>
      <c r="D256" s="161"/>
      <c r="E256" s="161"/>
      <c r="F256" s="161">
        <f t="shared" si="42"/>
        <v>0</v>
      </c>
      <c r="G256" s="162"/>
      <c r="H256" s="162"/>
      <c r="I256" s="162"/>
      <c r="J256" s="162"/>
      <c r="K256" s="162"/>
      <c r="L256" s="162"/>
      <c r="M256" s="161"/>
      <c r="N256" s="161"/>
      <c r="O256" s="161">
        <v>96710</v>
      </c>
      <c r="P256" s="161"/>
      <c r="Q256" s="161"/>
    </row>
    <row r="257" spans="1:17" ht="15" customHeight="1">
      <c r="A257" s="164" t="s">
        <v>54</v>
      </c>
      <c r="B257" s="160">
        <f t="shared" si="45"/>
        <v>217845</v>
      </c>
      <c r="C257" s="161">
        <f>D257+E257</f>
        <v>195975</v>
      </c>
      <c r="D257" s="161">
        <v>156371</v>
      </c>
      <c r="E257" s="161">
        <v>39604</v>
      </c>
      <c r="F257" s="161">
        <f t="shared" si="42"/>
        <v>21870</v>
      </c>
      <c r="G257" s="162">
        <v>350</v>
      </c>
      <c r="H257" s="162">
        <v>12440</v>
      </c>
      <c r="I257" s="162">
        <v>9080</v>
      </c>
      <c r="J257" s="162"/>
      <c r="K257" s="162"/>
      <c r="L257" s="162"/>
      <c r="M257" s="161"/>
      <c r="N257" s="161"/>
      <c r="O257" s="161"/>
      <c r="P257" s="166"/>
      <c r="Q257" s="161"/>
    </row>
    <row r="258" spans="1:17" ht="15" customHeight="1">
      <c r="A258" s="167" t="s">
        <v>186</v>
      </c>
      <c r="B258" s="160">
        <f t="shared" si="45"/>
        <v>623737</v>
      </c>
      <c r="C258" s="161">
        <f>D258+E258</f>
        <v>548793</v>
      </c>
      <c r="D258" s="161">
        <v>436806</v>
      </c>
      <c r="E258" s="161">
        <v>111987</v>
      </c>
      <c r="F258" s="161">
        <f t="shared" si="42"/>
        <v>74944</v>
      </c>
      <c r="G258" s="162">
        <v>1200</v>
      </c>
      <c r="H258" s="162">
        <v>45403</v>
      </c>
      <c r="I258" s="162">
        <v>27841</v>
      </c>
      <c r="J258" s="162"/>
      <c r="K258" s="162">
        <v>500</v>
      </c>
      <c r="L258" s="162"/>
      <c r="M258" s="161"/>
      <c r="N258" s="161"/>
      <c r="O258" s="161"/>
      <c r="P258" s="166"/>
      <c r="Q258" s="161"/>
    </row>
    <row r="259" spans="1:17" ht="15" customHeight="1">
      <c r="A259" s="167" t="s">
        <v>240</v>
      </c>
      <c r="B259" s="160">
        <f t="shared" si="45"/>
        <v>1084000</v>
      </c>
      <c r="C259" s="161"/>
      <c r="D259" s="161"/>
      <c r="E259" s="161"/>
      <c r="F259" s="161">
        <f t="shared" si="42"/>
        <v>0</v>
      </c>
      <c r="G259" s="162"/>
      <c r="H259" s="162"/>
      <c r="I259" s="162"/>
      <c r="J259" s="162"/>
      <c r="K259" s="162"/>
      <c r="L259" s="162"/>
      <c r="M259" s="161"/>
      <c r="N259" s="161"/>
      <c r="O259" s="161"/>
      <c r="P259" s="166">
        <v>1084000</v>
      </c>
      <c r="Q259" s="161"/>
    </row>
    <row r="260" spans="1:17" ht="15" customHeight="1">
      <c r="A260" s="167" t="s">
        <v>182</v>
      </c>
      <c r="B260" s="160">
        <f>SUM(C260:F260,M260:Q260)</f>
        <v>19690</v>
      </c>
      <c r="C260" s="161"/>
      <c r="D260" s="161"/>
      <c r="E260" s="161"/>
      <c r="F260" s="161">
        <f t="shared" si="42"/>
        <v>0</v>
      </c>
      <c r="G260" s="162"/>
      <c r="H260" s="162"/>
      <c r="I260" s="162"/>
      <c r="J260" s="162"/>
      <c r="K260" s="162"/>
      <c r="L260" s="162"/>
      <c r="M260" s="161"/>
      <c r="N260" s="161"/>
      <c r="O260" s="161"/>
      <c r="P260" s="166">
        <v>19690</v>
      </c>
      <c r="Q260" s="161"/>
    </row>
    <row r="261" spans="1:17" ht="15" customHeight="1">
      <c r="A261" s="167" t="s">
        <v>55</v>
      </c>
      <c r="B261" s="160">
        <f t="shared" si="46" ref="B261:B274">=SUM(C261+F261,M261:Q261)</f>
        <v>22137</v>
      </c>
      <c r="C261" s="161"/>
      <c r="D261" s="161"/>
      <c r="E261" s="161"/>
      <c r="F261" s="161">
        <f t="shared" si="42"/>
        <v>22137</v>
      </c>
      <c r="G261" s="162"/>
      <c r="H261" s="162">
        <v>19517</v>
      </c>
      <c r="I261" s="162">
        <v>2620</v>
      </c>
      <c r="J261" s="162"/>
      <c r="K261" s="162"/>
      <c r="L261" s="162"/>
      <c r="M261" s="161"/>
      <c r="N261" s="161"/>
      <c r="O261" s="161"/>
      <c r="P261" s="166"/>
      <c r="Q261" s="161"/>
    </row>
    <row r="262" spans="1:17" ht="15" customHeight="1">
      <c r="A262" s="167" t="s">
        <v>66</v>
      </c>
      <c r="B262" s="160">
        <f t="shared" si="46"/>
        <v>270172</v>
      </c>
      <c r="C262" s="161">
        <f>D262+E262</f>
        <v>119620</v>
      </c>
      <c r="D262" s="161">
        <v>110627</v>
      </c>
      <c r="E262" s="161">
        <v>8993</v>
      </c>
      <c r="F262" s="161">
        <f t="shared" si="42"/>
        <v>28883</v>
      </c>
      <c r="G262" s="162"/>
      <c r="H262" s="162">
        <v>27443</v>
      </c>
      <c r="I262" s="162">
        <v>1440</v>
      </c>
      <c r="J262" s="162"/>
      <c r="K262" s="162"/>
      <c r="L262" s="162"/>
      <c r="M262" s="161"/>
      <c r="N262" s="161"/>
      <c r="O262" s="161">
        <v>3505</v>
      </c>
      <c r="P262" s="166">
        <v>118164</v>
      </c>
      <c r="Q262" s="161"/>
    </row>
    <row r="263" spans="1:17" ht="15" customHeight="1">
      <c r="A263" s="167" t="s">
        <v>53</v>
      </c>
      <c r="B263" s="160">
        <f t="shared" si="46"/>
        <v>1829964</v>
      </c>
      <c r="C263" s="161">
        <f t="shared" si="47" ref="C263:C270">=D263+E263</f>
        <v>1079885</v>
      </c>
      <c r="D263" s="161">
        <v>861217</v>
      </c>
      <c r="E263" s="161">
        <v>218668</v>
      </c>
      <c r="F263" s="161">
        <f t="shared" si="42"/>
        <v>744879</v>
      </c>
      <c r="G263" s="162">
        <v>500</v>
      </c>
      <c r="H263" s="162">
        <v>110365</v>
      </c>
      <c r="I263" s="162">
        <v>631334</v>
      </c>
      <c r="J263" s="162">
        <v>680</v>
      </c>
      <c r="K263" s="162">
        <v>2000</v>
      </c>
      <c r="L263" s="162"/>
      <c r="M263" s="161"/>
      <c r="N263" s="161"/>
      <c r="O263" s="161">
        <v>3000</v>
      </c>
      <c r="P263" s="166">
        <v>2200</v>
      </c>
      <c r="Q263" s="161"/>
    </row>
    <row r="264" spans="1:17" ht="15" customHeight="1">
      <c r="A264" s="167" t="s">
        <v>129</v>
      </c>
      <c r="B264" s="160">
        <f t="shared" si="46"/>
        <v>340109</v>
      </c>
      <c r="C264" s="161">
        <f t="shared" si="47"/>
        <v>231763</v>
      </c>
      <c r="D264" s="161">
        <v>196250</v>
      </c>
      <c r="E264" s="161">
        <v>35513</v>
      </c>
      <c r="F264" s="161">
        <f t="shared" si="42"/>
        <v>108346</v>
      </c>
      <c r="G264" s="162">
        <v>342</v>
      </c>
      <c r="H264" s="162">
        <v>18936</v>
      </c>
      <c r="I264" s="162">
        <v>88868</v>
      </c>
      <c r="J264" s="162">
        <v>0</v>
      </c>
      <c r="K264" s="162">
        <v>200</v>
      </c>
      <c r="L264" s="162"/>
      <c r="M264" s="161"/>
      <c r="N264" s="161"/>
      <c r="O264" s="161"/>
      <c r="P264" s="166"/>
      <c r="Q264" s="161"/>
    </row>
    <row r="265" spans="1:17" ht="15" customHeight="1">
      <c r="A265" s="163" t="s">
        <v>131</v>
      </c>
      <c r="B265" s="160">
        <f t="shared" si="46"/>
        <v>218380</v>
      </c>
      <c r="C265" s="161">
        <f t="shared" si="47"/>
        <v>148772</v>
      </c>
      <c r="D265" s="161">
        <f>116902</f>
        <v>116902</v>
      </c>
      <c r="E265" s="161">
        <v>31870</v>
      </c>
      <c r="F265" s="161">
        <f t="shared" si="42"/>
        <v>67466</v>
      </c>
      <c r="G265" s="162">
        <v>60</v>
      </c>
      <c r="H265" s="162">
        <v>20076</v>
      </c>
      <c r="I265" s="162">
        <v>47330</v>
      </c>
      <c r="J265" s="162"/>
      <c r="K265" s="162"/>
      <c r="L265" s="162"/>
      <c r="M265" s="161"/>
      <c r="N265" s="161"/>
      <c r="O265" s="161"/>
      <c r="P265" s="166">
        <v>2142</v>
      </c>
      <c r="Q265" s="161"/>
    </row>
    <row r="266" spans="1:17" ht="15" customHeight="1">
      <c r="A266" s="163" t="s">
        <v>130</v>
      </c>
      <c r="B266" s="160">
        <f t="shared" si="46"/>
        <v>305263</v>
      </c>
      <c r="C266" s="161">
        <f t="shared" si="47"/>
        <v>218750</v>
      </c>
      <c r="D266" s="161">
        <f>176675</f>
        <v>176675</v>
      </c>
      <c r="E266" s="161">
        <v>42075</v>
      </c>
      <c r="F266" s="161">
        <f t="shared" si="42"/>
        <v>83823</v>
      </c>
      <c r="G266" s="162">
        <v>60</v>
      </c>
      <c r="H266" s="162">
        <v>21173</v>
      </c>
      <c r="I266" s="162">
        <v>62364</v>
      </c>
      <c r="J266" s="162"/>
      <c r="K266" s="162">
        <v>226</v>
      </c>
      <c r="L266" s="162"/>
      <c r="M266" s="161"/>
      <c r="N266" s="161"/>
      <c r="O266" s="161"/>
      <c r="P266" s="161">
        <v>2690</v>
      </c>
      <c r="Q266" s="161"/>
    </row>
    <row r="267" spans="1:17" ht="30" customHeight="1">
      <c r="A267" s="159" t="s">
        <v>84</v>
      </c>
      <c r="B267" s="160">
        <f t="shared" si="46"/>
        <v>257427</v>
      </c>
      <c r="C267" s="161">
        <f t="shared" si="47"/>
        <v>205391</v>
      </c>
      <c r="D267" s="161">
        <v>165726</v>
      </c>
      <c r="E267" s="161">
        <v>39665</v>
      </c>
      <c r="F267" s="161">
        <f t="shared" si="42"/>
        <v>52036</v>
      </c>
      <c r="G267" s="162">
        <v>476</v>
      </c>
      <c r="H267" s="162">
        <v>40827</v>
      </c>
      <c r="I267" s="162">
        <v>10733</v>
      </c>
      <c r="J267" s="162"/>
      <c r="K267" s="162"/>
      <c r="L267" s="162"/>
      <c r="M267" s="161"/>
      <c r="N267" s="161"/>
      <c r="O267" s="161"/>
      <c r="P267" s="161"/>
      <c r="Q267" s="161"/>
    </row>
    <row r="268" spans="1:17" ht="30" customHeight="1">
      <c r="A268" s="173" t="s">
        <v>187</v>
      </c>
      <c r="B268" s="160">
        <f t="shared" si="46"/>
        <v>73881</v>
      </c>
      <c r="C268" s="187">
        <f t="shared" si="47"/>
        <v>64866</v>
      </c>
      <c r="D268" s="171">
        <v>51752</v>
      </c>
      <c r="E268" s="171">
        <v>13114</v>
      </c>
      <c r="F268" s="161">
        <f t="shared" si="42"/>
        <v>9015</v>
      </c>
      <c r="G268" s="188">
        <v>100</v>
      </c>
      <c r="H268" s="188">
        <v>2543</v>
      </c>
      <c r="I268" s="188">
        <v>6372</v>
      </c>
      <c r="J268" s="188"/>
      <c r="K268" s="188"/>
      <c r="L268" s="188"/>
      <c r="M268" s="189"/>
      <c r="N268" s="189"/>
      <c r="O268" s="189"/>
      <c r="P268" s="189"/>
      <c r="Q268" s="189"/>
    </row>
    <row r="269" spans="1:17" ht="30" customHeight="1">
      <c r="A269" s="167" t="s">
        <v>188</v>
      </c>
      <c r="B269" s="160">
        <f t="shared" si="46"/>
        <v>134929</v>
      </c>
      <c r="C269" s="161">
        <f t="shared" si="47"/>
        <v>111491</v>
      </c>
      <c r="D269" s="161">
        <v>90064</v>
      </c>
      <c r="E269" s="161">
        <v>21427</v>
      </c>
      <c r="F269" s="161">
        <f t="shared" si="42"/>
        <v>18188</v>
      </c>
      <c r="G269" s="162"/>
      <c r="H269" s="162">
        <v>6499</v>
      </c>
      <c r="I269" s="162">
        <v>11689</v>
      </c>
      <c r="J269" s="162"/>
      <c r="K269" s="162"/>
      <c r="L269" s="162"/>
      <c r="M269" s="161"/>
      <c r="N269" s="161"/>
      <c r="O269" s="161"/>
      <c r="P269" s="161">
        <v>5250</v>
      </c>
      <c r="Q269" s="161"/>
    </row>
    <row r="270" spans="1:17" ht="30" customHeight="1">
      <c r="A270" s="190" t="s">
        <v>172</v>
      </c>
      <c r="B270" s="191">
        <f t="shared" si="46"/>
        <v>5201</v>
      </c>
      <c r="C270" s="174">
        <f t="shared" si="47"/>
        <v>4326</v>
      </c>
      <c r="D270" s="171">
        <v>3500</v>
      </c>
      <c r="E270" s="176">
        <v>826</v>
      </c>
      <c r="F270" s="161">
        <f t="shared" si="42"/>
        <v>875</v>
      </c>
      <c r="G270" s="192"/>
      <c r="H270" s="192">
        <v>580</v>
      </c>
      <c r="I270" s="192">
        <v>295</v>
      </c>
      <c r="J270" s="192"/>
      <c r="K270" s="192"/>
      <c r="L270" s="192"/>
      <c r="M270" s="193"/>
      <c r="N270" s="193"/>
      <c r="O270" s="193"/>
      <c r="P270" s="193"/>
      <c r="Q270" s="193"/>
    </row>
    <row r="271" spans="1:17" ht="30" customHeight="1">
      <c r="A271" s="194" t="s">
        <v>694</v>
      </c>
      <c r="B271" s="160">
        <f t="shared" si="46"/>
        <v>500</v>
      </c>
      <c r="C271" s="171"/>
      <c r="D271" s="171"/>
      <c r="E271" s="171"/>
      <c r="F271" s="161">
        <f t="shared" si="42"/>
        <v>500</v>
      </c>
      <c r="G271" s="181"/>
      <c r="H271" s="181">
        <v>200</v>
      </c>
      <c r="I271" s="181">
        <v>300</v>
      </c>
      <c r="J271" s="181"/>
      <c r="K271" s="181"/>
      <c r="L271" s="181"/>
      <c r="M271" s="171"/>
      <c r="N271" s="171"/>
      <c r="O271" s="171"/>
      <c r="P271" s="171"/>
      <c r="Q271" s="171"/>
    </row>
    <row r="272" spans="1:17" ht="30" customHeight="1">
      <c r="A272" s="167" t="s">
        <v>56</v>
      </c>
      <c r="B272" s="160">
        <f t="shared" si="46"/>
        <v>632852</v>
      </c>
      <c r="C272" s="161">
        <f>D272+E272</f>
        <v>585311</v>
      </c>
      <c r="D272" s="161">
        <v>473612</v>
      </c>
      <c r="E272" s="161">
        <v>111699</v>
      </c>
      <c r="F272" s="161">
        <f t="shared" si="48" ref="F272:F286">=SUM(G272:K272)</f>
        <v>41541</v>
      </c>
      <c r="G272" s="162">
        <v>0</v>
      </c>
      <c r="H272" s="162">
        <v>23302</v>
      </c>
      <c r="I272" s="162">
        <v>18239</v>
      </c>
      <c r="J272" s="162"/>
      <c r="K272" s="162"/>
      <c r="L272" s="162"/>
      <c r="M272" s="161"/>
      <c r="N272" s="161"/>
      <c r="O272" s="161">
        <v>6000</v>
      </c>
      <c r="P272" s="161"/>
      <c r="Q272" s="161"/>
    </row>
    <row r="273" spans="1:17" ht="30" customHeight="1">
      <c r="A273" s="159" t="s">
        <v>62</v>
      </c>
      <c r="B273" s="160">
        <f t="shared" si="46"/>
        <v>42383</v>
      </c>
      <c r="C273" s="161">
        <f>D273+E273</f>
        <v>0</v>
      </c>
      <c r="D273" s="161"/>
      <c r="E273" s="161"/>
      <c r="F273" s="161">
        <f t="shared" si="48"/>
        <v>0</v>
      </c>
      <c r="G273" s="162"/>
      <c r="H273" s="162"/>
      <c r="I273" s="162">
        <v>0</v>
      </c>
      <c r="J273" s="162"/>
      <c r="K273" s="162"/>
      <c r="L273" s="162"/>
      <c r="M273" s="161"/>
      <c r="N273" s="161"/>
      <c r="O273" s="161">
        <v>42383</v>
      </c>
      <c r="P273" s="161">
        <v>0</v>
      </c>
      <c r="Q273" s="161"/>
    </row>
    <row r="274" spans="1:17" ht="30" customHeight="1">
      <c r="A274" s="167" t="s">
        <v>61</v>
      </c>
      <c r="B274" s="160">
        <f t="shared" si="46"/>
        <v>23100</v>
      </c>
      <c r="C274" s="161">
        <f>D274+E274</f>
        <v>0</v>
      </c>
      <c r="D274" s="161"/>
      <c r="E274" s="161"/>
      <c r="F274" s="161">
        <f t="shared" si="48"/>
        <v>23100</v>
      </c>
      <c r="G274" s="162">
        <v>0</v>
      </c>
      <c r="H274" s="162">
        <v>23100</v>
      </c>
      <c r="I274" s="162"/>
      <c r="J274" s="162"/>
      <c r="K274" s="162"/>
      <c r="L274" s="162"/>
      <c r="M274" s="161"/>
      <c r="N274" s="161"/>
      <c r="O274" s="161">
        <v>0</v>
      </c>
      <c r="P274" s="161"/>
      <c r="Q274" s="161"/>
    </row>
    <row r="275" spans="1:17" ht="32.1" customHeight="1">
      <c r="A275" s="159" t="s">
        <v>232</v>
      </c>
      <c r="B275" s="160">
        <f t="shared" si="49" ref="B275:B291">=SUM(C275+F275,M275:Q275)</f>
        <v>400</v>
      </c>
      <c r="C275" s="161"/>
      <c r="D275" s="161"/>
      <c r="E275" s="161"/>
      <c r="F275" s="161">
        <f t="shared" si="48"/>
        <v>0</v>
      </c>
      <c r="G275" s="162"/>
      <c r="H275" s="162"/>
      <c r="I275" s="162"/>
      <c r="J275" s="162"/>
      <c r="K275" s="162"/>
      <c r="L275" s="162"/>
      <c r="M275" s="161">
        <v>400</v>
      </c>
      <c r="N275" s="161"/>
      <c r="O275" s="161"/>
      <c r="P275" s="161"/>
      <c r="Q275" s="161"/>
    </row>
    <row r="276" spans="1:17" ht="15" customHeight="1">
      <c r="A276" s="159" t="s">
        <v>233</v>
      </c>
      <c r="B276" s="160">
        <f t="shared" si="49"/>
        <v>400</v>
      </c>
      <c r="C276" s="161"/>
      <c r="D276" s="161"/>
      <c r="E276" s="161"/>
      <c r="F276" s="161">
        <f t="shared" si="48"/>
        <v>0</v>
      </c>
      <c r="G276" s="162"/>
      <c r="H276" s="162"/>
      <c r="I276" s="162"/>
      <c r="J276" s="162"/>
      <c r="K276" s="162"/>
      <c r="L276" s="162"/>
      <c r="M276" s="161">
        <v>400</v>
      </c>
      <c r="N276" s="161"/>
      <c r="O276" s="161"/>
      <c r="P276" s="161"/>
      <c r="Q276" s="161"/>
    </row>
    <row r="277" spans="1:17" ht="15" customHeight="1">
      <c r="A277" s="159" t="s">
        <v>234</v>
      </c>
      <c r="B277" s="160">
        <f t="shared" si="49"/>
        <v>400</v>
      </c>
      <c r="C277" s="161"/>
      <c r="D277" s="161"/>
      <c r="E277" s="161"/>
      <c r="F277" s="161">
        <f t="shared" si="48"/>
        <v>0</v>
      </c>
      <c r="G277" s="162"/>
      <c r="H277" s="162"/>
      <c r="I277" s="162"/>
      <c r="J277" s="162"/>
      <c r="K277" s="162"/>
      <c r="L277" s="162"/>
      <c r="M277" s="161">
        <v>400</v>
      </c>
      <c r="N277" s="161"/>
      <c r="O277" s="161"/>
      <c r="P277" s="161"/>
      <c r="Q277" s="161"/>
    </row>
    <row r="278" spans="1:17" ht="15" customHeight="1">
      <c r="A278" s="159" t="s">
        <v>837</v>
      </c>
      <c r="B278" s="160">
        <f t="shared" si="49"/>
        <v>300</v>
      </c>
      <c r="C278" s="161"/>
      <c r="D278" s="161"/>
      <c r="E278" s="161"/>
      <c r="F278" s="161"/>
      <c r="G278" s="162"/>
      <c r="H278" s="162"/>
      <c r="I278" s="162"/>
      <c r="J278" s="162"/>
      <c r="K278" s="162"/>
      <c r="L278" s="162"/>
      <c r="M278" s="161">
        <v>300</v>
      </c>
      <c r="N278" s="161"/>
      <c r="O278" s="161"/>
      <c r="P278" s="161"/>
      <c r="Q278" s="161"/>
    </row>
    <row r="279" spans="1:17" ht="30" customHeight="1">
      <c r="A279" s="159" t="s">
        <v>243</v>
      </c>
      <c r="B279" s="160">
        <f t="shared" si="49"/>
        <v>188210</v>
      </c>
      <c r="C279" s="161"/>
      <c r="D279" s="161"/>
      <c r="E279" s="161"/>
      <c r="F279" s="161">
        <f t="shared" si="48"/>
        <v>0</v>
      </c>
      <c r="G279" s="162"/>
      <c r="H279" s="162"/>
      <c r="I279" s="162"/>
      <c r="J279" s="162"/>
      <c r="K279" s="162"/>
      <c r="L279" s="162"/>
      <c r="M279" s="161"/>
      <c r="N279" s="161"/>
      <c r="O279" s="161">
        <v>188210</v>
      </c>
      <c r="P279" s="161"/>
      <c r="Q279" s="161"/>
    </row>
    <row r="280" spans="1:17" ht="30" customHeight="1">
      <c r="A280" s="159" t="s">
        <v>738</v>
      </c>
      <c r="B280" s="160">
        <f t="shared" si="49"/>
        <v>29524</v>
      </c>
      <c r="C280" s="161"/>
      <c r="D280" s="161"/>
      <c r="E280" s="161"/>
      <c r="F280" s="161">
        <f t="shared" si="48"/>
        <v>0</v>
      </c>
      <c r="G280" s="162"/>
      <c r="H280" s="162"/>
      <c r="I280" s="162"/>
      <c r="J280" s="162"/>
      <c r="K280" s="162"/>
      <c r="L280" s="162"/>
      <c r="M280" s="161"/>
      <c r="N280" s="161"/>
      <c r="O280" s="161">
        <v>29524</v>
      </c>
      <c r="P280" s="161"/>
      <c r="Q280" s="161"/>
    </row>
    <row r="281" spans="1:17" ht="30" customHeight="1">
      <c r="A281" s="194" t="s">
        <v>697</v>
      </c>
      <c r="B281" s="160">
        <f t="shared" si="49"/>
        <v>2000</v>
      </c>
      <c r="C281" s="161">
        <v>0</v>
      </c>
      <c r="D281" s="161"/>
      <c r="E281" s="161"/>
      <c r="F281" s="161">
        <f t="shared" si="48"/>
        <v>2000</v>
      </c>
      <c r="G281" s="162"/>
      <c r="H281" s="162">
        <v>2000</v>
      </c>
      <c r="I281" s="162">
        <v>0</v>
      </c>
      <c r="J281" s="162"/>
      <c r="K281" s="162"/>
      <c r="L281" s="162"/>
      <c r="M281" s="161"/>
      <c r="N281" s="161"/>
      <c r="O281" s="161"/>
      <c r="P281" s="161">
        <v>0</v>
      </c>
      <c r="Q281" s="161">
        <v>0</v>
      </c>
    </row>
    <row r="282" spans="1:17" ht="15" customHeight="1">
      <c r="A282" s="159" t="s">
        <v>185</v>
      </c>
      <c r="B282" s="160">
        <f t="shared" si="49"/>
        <v>100000</v>
      </c>
      <c r="C282" s="161"/>
      <c r="D282" s="161"/>
      <c r="E282" s="161"/>
      <c r="F282" s="161">
        <f t="shared" si="48"/>
        <v>0</v>
      </c>
      <c r="G282" s="162"/>
      <c r="H282" s="162"/>
      <c r="I282" s="162"/>
      <c r="J282" s="162"/>
      <c r="K282" s="162"/>
      <c r="L282" s="162"/>
      <c r="M282" s="161"/>
      <c r="N282" s="161"/>
      <c r="O282" s="161">
        <v>100000</v>
      </c>
      <c r="P282" s="161"/>
      <c r="Q282" s="161"/>
    </row>
    <row r="283" spans="1:17" ht="30" customHeight="1">
      <c r="A283" s="159" t="s">
        <v>241</v>
      </c>
      <c r="B283" s="160">
        <f t="shared" si="49"/>
        <v>311642</v>
      </c>
      <c r="C283" s="161"/>
      <c r="D283" s="161"/>
      <c r="E283" s="161"/>
      <c r="F283" s="161">
        <f t="shared" si="48"/>
        <v>0</v>
      </c>
      <c r="G283" s="162"/>
      <c r="H283" s="162"/>
      <c r="I283" s="162"/>
      <c r="J283" s="162"/>
      <c r="K283" s="162"/>
      <c r="L283" s="162"/>
      <c r="M283" s="161"/>
      <c r="N283" s="161"/>
      <c r="O283" s="161">
        <v>311642</v>
      </c>
      <c r="P283" s="161"/>
      <c r="Q283" s="161"/>
    </row>
    <row r="284" spans="1:17" ht="32.25" customHeight="1">
      <c r="A284" s="159" t="s">
        <v>242</v>
      </c>
      <c r="B284" s="160">
        <f t="shared" si="49"/>
        <v>380947</v>
      </c>
      <c r="C284" s="161"/>
      <c r="D284" s="161"/>
      <c r="E284" s="161"/>
      <c r="F284" s="161">
        <f t="shared" si="48"/>
        <v>0</v>
      </c>
      <c r="G284" s="162"/>
      <c r="H284" s="162"/>
      <c r="I284" s="162"/>
      <c r="J284" s="162"/>
      <c r="K284" s="162"/>
      <c r="L284" s="162"/>
      <c r="M284" s="161"/>
      <c r="N284" s="161"/>
      <c r="O284" s="161">
        <v>380947</v>
      </c>
      <c r="P284" s="161"/>
      <c r="Q284" s="161"/>
    </row>
    <row r="285" spans="1:17" ht="21.75" customHeight="1">
      <c r="A285" s="159" t="s">
        <v>752</v>
      </c>
      <c r="B285" s="160">
        <f t="shared" si="49"/>
        <v>60000</v>
      </c>
      <c r="C285" s="161"/>
      <c r="D285" s="161"/>
      <c r="E285" s="161"/>
      <c r="F285" s="161">
        <f t="shared" si="48"/>
        <v>60000</v>
      </c>
      <c r="G285" s="162"/>
      <c r="H285" s="162">
        <v>60000</v>
      </c>
      <c r="I285" s="162"/>
      <c r="J285" s="162"/>
      <c r="K285" s="162"/>
      <c r="L285" s="162"/>
      <c r="M285" s="161"/>
      <c r="N285" s="161"/>
      <c r="O285" s="161"/>
      <c r="P285" s="161"/>
      <c r="Q285" s="161"/>
    </row>
    <row r="286" spans="1:17" ht="35.25" customHeight="1">
      <c r="A286" s="159" t="s">
        <v>747</v>
      </c>
      <c r="B286" s="160">
        <f>SUM(C286+F286,M286:Q286)</f>
        <v>3000</v>
      </c>
      <c r="C286" s="161"/>
      <c r="D286" s="161"/>
      <c r="E286" s="161"/>
      <c r="F286" s="161">
        <f t="shared" si="48"/>
        <v>0</v>
      </c>
      <c r="G286" s="162"/>
      <c r="H286" s="162"/>
      <c r="I286" s="162"/>
      <c r="J286" s="162"/>
      <c r="K286" s="162"/>
      <c r="L286" s="162"/>
      <c r="M286" s="161"/>
      <c r="N286" s="161"/>
      <c r="O286" s="161">
        <v>3000</v>
      </c>
      <c r="P286" s="161"/>
      <c r="Q286" s="161"/>
    </row>
    <row r="287" spans="1:17" ht="19.5" customHeight="1">
      <c r="A287" s="159" t="s">
        <v>767</v>
      </c>
      <c r="B287" s="160">
        <f t="shared" si="49"/>
        <v>188613</v>
      </c>
      <c r="C287" s="161"/>
      <c r="D287" s="161"/>
      <c r="E287" s="161"/>
      <c r="F287" s="161"/>
      <c r="G287" s="162"/>
      <c r="H287" s="162"/>
      <c r="I287" s="162"/>
      <c r="J287" s="162"/>
      <c r="K287" s="162"/>
      <c r="L287" s="162"/>
      <c r="M287" s="161"/>
      <c r="N287" s="161"/>
      <c r="O287" s="161">
        <v>188613</v>
      </c>
      <c r="P287" s="161"/>
      <c r="Q287" s="161"/>
    </row>
    <row r="288" spans="1:17" ht="30" customHeight="1">
      <c r="A288" s="159" t="s">
        <v>766</v>
      </c>
      <c r="B288" s="160">
        <f t="shared" si="49"/>
        <v>12210</v>
      </c>
      <c r="C288" s="161"/>
      <c r="D288" s="161"/>
      <c r="E288" s="161"/>
      <c r="F288" s="161">
        <f>H288</f>
        <v>12210</v>
      </c>
      <c r="G288" s="162"/>
      <c r="H288" s="162">
        <v>12210</v>
      </c>
      <c r="I288" s="162"/>
      <c r="J288" s="162"/>
      <c r="K288" s="162"/>
      <c r="L288" s="162"/>
      <c r="M288" s="161"/>
      <c r="N288" s="161"/>
      <c r="O288" s="161"/>
      <c r="P288" s="161"/>
      <c r="Q288" s="161"/>
    </row>
    <row r="289" spans="1:17" ht="49.5" customHeight="1">
      <c r="A289" s="159" t="s">
        <v>823</v>
      </c>
      <c r="B289" s="160">
        <f t="shared" si="49"/>
        <v>5956</v>
      </c>
      <c r="C289" s="161"/>
      <c r="D289" s="161"/>
      <c r="E289" s="161"/>
      <c r="F289" s="161"/>
      <c r="G289" s="162"/>
      <c r="H289" s="162"/>
      <c r="I289" s="162"/>
      <c r="J289" s="162"/>
      <c r="K289" s="162"/>
      <c r="L289" s="162"/>
      <c r="M289" s="161">
        <v>5956</v>
      </c>
      <c r="N289" s="161"/>
      <c r="O289" s="161"/>
      <c r="P289" s="161"/>
      <c r="Q289" s="161"/>
    </row>
    <row r="290" spans="1:17" ht="30" customHeight="1">
      <c r="A290" s="159" t="s">
        <v>784</v>
      </c>
      <c r="B290" s="160">
        <f t="shared" si="49"/>
        <v>21130</v>
      </c>
      <c r="C290" s="161"/>
      <c r="D290" s="161"/>
      <c r="E290" s="161"/>
      <c r="F290" s="161"/>
      <c r="G290" s="162"/>
      <c r="H290" s="162"/>
      <c r="I290" s="162"/>
      <c r="J290" s="162"/>
      <c r="K290" s="162"/>
      <c r="L290" s="162"/>
      <c r="M290" s="161"/>
      <c r="N290" s="161"/>
      <c r="O290" s="161">
        <v>21130</v>
      </c>
      <c r="P290" s="161"/>
      <c r="Q290" s="161"/>
    </row>
    <row r="291" spans="1:17" ht="30" customHeight="1">
      <c r="A291" s="159" t="s">
        <v>824</v>
      </c>
      <c r="B291" s="160">
        <f t="shared" si="49"/>
        <v>12000</v>
      </c>
      <c r="C291" s="161"/>
      <c r="D291" s="161"/>
      <c r="E291" s="161"/>
      <c r="F291" s="161"/>
      <c r="G291" s="162"/>
      <c r="H291" s="162"/>
      <c r="I291" s="162"/>
      <c r="J291" s="162"/>
      <c r="K291" s="162"/>
      <c r="L291" s="162"/>
      <c r="M291" s="161">
        <v>12000</v>
      </c>
      <c r="N291" s="161"/>
      <c r="O291" s="161"/>
      <c r="P291" s="161"/>
      <c r="Q291" s="161"/>
    </row>
    <row r="292" spans="1:17" ht="30" customHeight="1">
      <c r="A292" s="159" t="s">
        <v>785</v>
      </c>
      <c r="B292" s="160">
        <f>SUM(C292+F292,M292:Q292)</f>
        <v>5614</v>
      </c>
      <c r="C292" s="161"/>
      <c r="D292" s="161"/>
      <c r="E292" s="161"/>
      <c r="F292" s="161">
        <f>G292+H292+I292+J292+K292+L292</f>
        <v>5614</v>
      </c>
      <c r="G292" s="162">
        <v>5614</v>
      </c>
      <c r="H292" s="162"/>
      <c r="I292" s="162"/>
      <c r="J292" s="162"/>
      <c r="K292" s="162"/>
      <c r="L292" s="162"/>
      <c r="M292" s="161"/>
      <c r="N292" s="161"/>
      <c r="O292" s="161"/>
      <c r="P292" s="161"/>
      <c r="Q292" s="161"/>
    </row>
    <row r="293" spans="1:20" ht="15" customHeight="1">
      <c r="A293" s="77" t="s">
        <v>57</v>
      </c>
      <c r="B293" s="155">
        <f t="shared" si="50" ref="B293:K293">=SUM(B12:B292)</f>
        <v>35113277.980000004</v>
      </c>
      <c r="C293" s="184">
        <f t="shared" si="50"/>
        <v>21794388.98</v>
      </c>
      <c r="D293" s="184">
        <f t="shared" si="50"/>
        <v>17550166</v>
      </c>
      <c r="E293" s="184">
        <f t="shared" si="50"/>
        <v>4244222.9800000004</v>
      </c>
      <c r="F293" s="184">
        <f t="shared" si="50"/>
        <v>8574490</v>
      </c>
      <c r="G293" s="184">
        <f t="shared" si="50"/>
        <v>60936</v>
      </c>
      <c r="H293" s="184">
        <f t="shared" si="50"/>
        <v>4584188</v>
      </c>
      <c r="I293" s="184">
        <f t="shared" si="50"/>
        <v>3517298</v>
      </c>
      <c r="J293" s="184">
        <f t="shared" si="50"/>
        <v>14620</v>
      </c>
      <c r="K293" s="184">
        <f t="shared" si="50"/>
        <v>397448</v>
      </c>
      <c r="L293" s="184"/>
      <c r="M293" s="184">
        <f>SUM(M12:M292)</f>
        <v>77201</v>
      </c>
      <c r="N293" s="184">
        <f>SUM(N12:N292)</f>
        <v>860221</v>
      </c>
      <c r="O293" s="184">
        <f>SUM(O12:O292)</f>
        <v>2048350</v>
      </c>
      <c r="P293" s="184">
        <f>SUM(P12:P292)</f>
        <v>1605751</v>
      </c>
      <c r="Q293" s="184">
        <f>SUM(Q12:Q292)</f>
        <v>152876</v>
      </c>
      <c r="R293" s="76"/>
      <c r="S293" s="73"/>
      <c r="T293" s="73"/>
    </row>
    <row r="294" spans="1:17" ht="15" customHeight="1">
      <c r="A294" s="10"/>
      <c r="B294" s="158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1:17" ht="15" customHeight="1">
      <c r="A295" s="10"/>
      <c r="B295" s="148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2:2" ht="15" customHeight="1">
      <c r="B296" s="149" t="s">
        <v>173</v>
      </c>
    </row>
    <row r="297" spans="1:17" ht="18.75">
      <c r="A297" s="72"/>
      <c r="B297" s="149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</row>
    <row r="298" spans="3:17" ht="15"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</row>
    <row r="299" spans="6:17" ht="15">
      <c r="F299" s="76"/>
      <c r="Q299" s="73"/>
    </row>
    <row r="304" spans="7:13" ht="15">
      <c r="G304" s="73"/>
      <c r="H304" s="73"/>
      <c r="I304" s="73"/>
      <c r="J304" s="73"/>
      <c r="K304" s="73"/>
      <c r="L304" s="73"/>
      <c r="M304" s="73"/>
    </row>
  </sheetData>
  <autoFilter ref="A9:Q29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7:Q7"/>
    <mergeCell ref="C9:Q9"/>
    <mergeCell ref="A9:A11"/>
    <mergeCell ref="B9:B11"/>
  </mergeCells>
  <printOptions horizontalCentered="1"/>
  <pageMargins left="0.7086614173228347" right="0.7086614173228347" top="0.7480314960629921" bottom="0.7480314960629921" header="0.31496062992125984" footer="0.31496062992125984"/>
  <pageSetup fitToHeight="0" orientation="landscape" paperSize="9" scale="88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2024-01-26T13:25:40Z</cp:lastPrinted>
  <dcterms:created xsi:type="dcterms:W3CDTF">2014-01-31T18:56:56Z</dcterms:created>
  <dcterms:modified xsi:type="dcterms:W3CDTF">2024-01-26T13:26:26Z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