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3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_FilterDatabase" localSheetId="3" hidden="1">'4.pielikums'!$A$15:$P$360</definedName>
    <definedName name="_xlnm.Print_Area" localSheetId="3">'4.pielikums'!$A$1:$P$364</definedName>
  </definedName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<sst xmlns="http://schemas.openxmlformats.org/spreadsheetml/2006/main" count="1445" uniqueCount="899">
  <si>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</si>
  <si>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</si>
  <si>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</si>
  <si>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</si>
  <si>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</si>
  <si>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</si>
  <si>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</si>
  <si>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</si>
  <si>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</si>
  <si>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</si>
  <si>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</si>
  <si>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</si>
  <si>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</si>
  <si>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</si>
  <si>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</si>
  <si>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</si>
  <si>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</si>
  <si>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</si>
  <si>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</si>
  <si>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</si>
  <si>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</si>
  <si>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</si>
  <si>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</si>
  <si>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</si>
  <si>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</si>
  <si>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</si>
  <si>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</si>
  <si>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</si>
  <si>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</si>
  <si>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</si>
  <si>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Briežuciema FVP</t>
  </si>
  <si>
    <t>Krišjānu FVP</t>
  </si>
  <si>
    <t>Kubulu VFP</t>
  </si>
  <si>
    <t>Lazdulejas VFP</t>
  </si>
  <si>
    <t>Vectilžas VFP</t>
  </si>
  <si>
    <t>Vīksnas VFP</t>
  </si>
  <si>
    <t>Balvu Centrālā bibliotēka</t>
  </si>
  <si>
    <t>KAC pasākumi</t>
  </si>
  <si>
    <t>Briežuciema Tautas nams</t>
  </si>
  <si>
    <t>Krišjāņu Tautas nams</t>
  </si>
  <si>
    <t>Kubulu kultūras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</si>
  <si>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</si>
  <si>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</si>
  <si>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</si>
  <si>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</si>
  <si>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</si>
  <si>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</si>
  <si>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</si>
  <si>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</si>
  <si>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</si>
  <si>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</si>
  <si>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</si>
  <si>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</si>
  <si>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</si>
  <si>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</si>
  <si>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</si>
  <si>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</si>
  <si>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</si>
  <si>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</si>
  <si>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</si>
  <si>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</si>
  <si>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</si>
  <si>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Deinstitucionālizācijas pasākumu īstenošana Latgales reģionā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</si>
  <si>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</si>
  <si>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</si>
  <si>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</si>
  <si>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</si>
  <si>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</si>
  <si>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</si>
  <si>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</si>
  <si>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</si>
  <si>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</si>
  <si>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</si>
  <si>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</si>
  <si>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</si>
  <si>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</si>
  <si>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</si>
  <si>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</si>
  <si>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</si>
  <si>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</si>
  <si>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</si>
  <si>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</si>
  <si>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</si>
  <si>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</si>
  <si>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</si>
  <si>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</si>
  <si>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</si>
  <si>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</si>
  <si>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</si>
  <si>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</si>
  <si>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</si>
  <si>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</si>
  <si>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</si>
  <si>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</si>
  <si>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</si>
  <si>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</si>
  <si>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</si>
  <si>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</si>
  <si>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</si>
  <si>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</si>
  <si>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</si>
  <si>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</si>
  <si>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Susāju pārvaldes teritorijas apsaimniekošana</t>
  </si>
  <si>
    <t>Medņevas komunālā saimniecība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</si>
  <si>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</si>
  <si>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</si>
  <si>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</si>
  <si>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</si>
  <si>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</si>
  <si>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</si>
  <si>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</si>
  <si>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</si>
  <si>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</si>
  <si>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</si>
  <si>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</si>
  <si>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</si>
  <si>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</si>
  <si>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</si>
  <si>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</si>
  <si>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</si>
  <si>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</si>
  <si>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</si>
  <si>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</si>
  <si>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Kupravas komunālā saimniecība</t>
  </si>
  <si>
    <t>Žīguru pārvaldes pašvaldības  dzīvokļu uzturēšana</t>
  </si>
  <si>
    <t>Viļakas pilsētas labiekārtošana</t>
  </si>
  <si>
    <t>Šķilbēnu komunālā saimniecība</t>
  </si>
  <si>
    <t>Vecumu pārvaldes pašvaldības dzīvokļu uzturēšana</t>
  </si>
  <si>
    <t>Upītes FVP</t>
  </si>
  <si>
    <t>Rugāju sociālās aprūpes centrs</t>
  </si>
  <si>
    <t>Viļakas sociālās aprūpes centrs</t>
  </si>
  <si>
    <t>Šķilbēnu sociālās aprūpes māja</t>
  </si>
  <si>
    <t>Lazdukalna saieta nams</t>
  </si>
  <si>
    <t>Skujetnieku FVP</t>
  </si>
  <si>
    <t>Kultūrvēsturiskā lauku sēta "Vēršukalns"</t>
  </si>
  <si>
    <t>Viļakas muzejs</t>
  </si>
  <si>
    <t xml:space="preserve">Rugāju muzejs  </t>
  </si>
  <si>
    <t>Lazdukalna pagasta pārvalde</t>
  </si>
  <si>
    <t>Rugāju pagasta pārvalde</t>
  </si>
  <si>
    <t>Algotie pagaidu sabiedriskie darbi</t>
  </si>
  <si>
    <t>Balkanu Dabas parks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</si>
  <si>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</si>
  <si>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</si>
  <si>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</si>
  <si>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</si>
  <si>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</si>
  <si>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</si>
  <si>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</si>
  <si>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</si>
  <si>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</si>
  <si>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</si>
  <si>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</si>
  <si>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</si>
  <si>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Kupravas feldšeru punkts</t>
  </si>
  <si>
    <t>Baltinavas muzejs</t>
  </si>
  <si>
    <t>Baltinavas kultūras nams</t>
  </si>
  <si>
    <t>Žīguru kultūras nams</t>
  </si>
  <si>
    <t>Viļakas kultūras nams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</si>
  <si>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</si>
  <si>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</si>
  <si>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</si>
  <si>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</si>
  <si>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Viļakas mūzikas un mākslas 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</si>
  <si>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</si>
  <si>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</si>
  <si>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</si>
  <si>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</si>
  <si>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</si>
  <si>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</si>
  <si>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Izglītības pārvalde</t>
  </si>
  <si>
    <t>Baltinavas mūzikas un mākslas skola</t>
  </si>
  <si>
    <t>Baltinavas vidusskola</t>
  </si>
  <si>
    <t>Veļas mazgāšanas pakalpojumi (Rugāji)</t>
  </si>
  <si>
    <t xml:space="preserve">Domes priekšsēdētājs                                                                                              S.Maksimovs                                               </t>
  </si>
  <si>
    <t>Bērzpils pamatskola</t>
  </si>
  <si>
    <t>4.pielikums</t>
  </si>
  <si>
    <t>Rugāju vidusskola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</si>
  <si>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</si>
  <si>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</si>
  <si>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</si>
  <si>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</si>
  <si>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</si>
  <si>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</si>
  <si>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</si>
  <si>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</si>
  <si>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</si>
  <si>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</si>
  <si>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</si>
  <si>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</si>
  <si>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</si>
  <si>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</si>
  <si>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</si>
  <si>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Rugāju tautas nams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</si>
  <si>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</si>
  <si>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</si>
  <si>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</si>
  <si>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</si>
  <si>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</si>
  <si>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</si>
  <si>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</si>
  <si>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</si>
  <si>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</si>
  <si>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</si>
  <si>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</si>
  <si>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</si>
  <si>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</si>
  <si>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</si>
  <si>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</si>
  <si>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</si>
  <si>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</si>
  <si>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</si>
  <si>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</si>
  <si>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</si>
  <si>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</si>
  <si>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</si>
  <si>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Baltinavas pagasta teritorijas apsiamniekošana</t>
  </si>
  <si>
    <t>Skolēnu pārvadājumi Tilžas pagastā</t>
  </si>
  <si>
    <t>Viļakas pilsētas komunālā saimniecība-notekūdenu apsaimniekošana</t>
  </si>
  <si>
    <t>Tilžas kultūras un vēstures nams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</si>
  <si>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</si>
  <si>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</si>
  <si>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</si>
  <si>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</si>
  <si>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</si>
  <si>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</si>
  <si>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</si>
  <si>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</si>
  <si>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</si>
  <si>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</si>
  <si>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</si>
  <si>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</si>
  <si>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Dotācijas nevalstiskajām organizācijām, biedrībām projektu līdzfinansējumam, priekšfinansējumam</t>
  </si>
  <si>
    <t>Politiski represēto apvienība Balvu nodaļa</t>
  </si>
  <si>
    <t>Balvu pensionāru biedrība</t>
  </si>
  <si>
    <t>Balvu Teritoriālā Invalīdu biedrība</t>
  </si>
  <si>
    <t>Bērzpils pamatskolas pirmsskolas izglītības grupa Krišjāņos</t>
  </si>
  <si>
    <t>Tilžas pamatskola</t>
  </si>
  <si>
    <t>Tilžas pamatskolas pirmsskolas izglītības grupa Vectilžā</t>
  </si>
  <si>
    <t>Tilžas pamatskolas pirmsskolas izglītības grupas Tilžā</t>
  </si>
  <si>
    <t>Balvu novada Bērnu un jauniešu centrs</t>
  </si>
  <si>
    <t>Sociālie pabalsti</t>
  </si>
  <si>
    <t>Baltinavas muzeja ēkas energoefektivitātes paaugstināšana</t>
  </si>
  <si>
    <t>Rugāju pagasta pārvaldes ēkas energoefektivitātes paaugstināšana</t>
  </si>
  <si>
    <t>Muižas apbūves kompleksa pārbūve 2.kārta</t>
  </si>
  <si>
    <t>Mācību, darba un dienesta komandējumi, darba braucieni</t>
  </si>
  <si>
    <t>Pakalpojumi</t>
  </si>
  <si>
    <t>Krājumi, materiāli, energoresursi, preces, biroja preces un inventārs</t>
  </si>
  <si>
    <t xml:space="preserve">Budžeta iestāžu nodokļu, nodevu un sankciju maksājumi </t>
  </si>
  <si>
    <t>Krišjāņu komunālā saimniecība -notekūdeņu apsaimniekošana</t>
  </si>
  <si>
    <t>Krišjāņu komunālā saimniecība - ūdens</t>
  </si>
  <si>
    <t>Krišjāņu komunālā saimniecība - apkure</t>
  </si>
  <si>
    <t>Kubulu komunālā saimniecība -notekūdeņu apsaimniekošana</t>
  </si>
  <si>
    <t>Kubulu komunālā saimniecība - ūdens</t>
  </si>
  <si>
    <t>ERAF projekts Balvu mākslas skolas ēkas energoefektivitātes paaugstināšana</t>
  </si>
  <si>
    <t>Vides pieejamības veicināšana Balvu novada Nodarbinātības valsts aģentūrā</t>
  </si>
  <si>
    <t>Balvu sākumskolas pārbūve</t>
  </si>
  <si>
    <t>Bērzpils komunālā saimniecība -notekūdeņu apsaimniekošana</t>
  </si>
  <si>
    <t>Bērzpils komunālā saimniecība - ūdens</t>
  </si>
  <si>
    <t>Tilžas komunālā saimniecība -notekūdeņu apsaimniekošana</t>
  </si>
  <si>
    <t>Tilžas komunālā saimniecība - apkure</t>
  </si>
  <si>
    <t>Tilžas komunālā saimniecība - ūdens</t>
  </si>
  <si>
    <t>Viduču pamatskola Žīguros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</si>
  <si>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</si>
  <si>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</si>
  <si>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</si>
  <si>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</si>
  <si>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</si>
  <si>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</si>
  <si>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</si>
  <si>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</si>
  <si>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</si>
  <si>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</si>
  <si>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</si>
  <si>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</si>
  <si>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Rugāju  pagasta pārvalde</t>
  </si>
  <si>
    <t>03.000</t>
  </si>
  <si>
    <t>Sabiedriskā kārtība un drošība</t>
  </si>
  <si>
    <t>04.000</t>
  </si>
  <si>
    <t>Ekonomiskā darbība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</si>
  <si>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</si>
  <si>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</si>
  <si>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</si>
  <si>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</si>
  <si>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</si>
  <si>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</si>
  <si>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</si>
  <si>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</si>
  <si>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</si>
  <si>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</si>
  <si>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</si>
  <si>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</si>
  <si>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</si>
  <si>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</si>
  <si>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</si>
  <si>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</si>
  <si>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</si>
  <si>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</si>
  <si>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Upītes feldšeru-vecmāšu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</si>
  <si>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</si>
  <si>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</si>
  <si>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</si>
  <si>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</si>
  <si>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</si>
  <si>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Kultūra</t>
  </si>
  <si>
    <t>Bibliotēkas</t>
  </si>
  <si>
    <t>Muzeji</t>
  </si>
  <si>
    <t>Balvu novada muzejs</t>
  </si>
  <si>
    <t>Kultūras nami</t>
  </si>
  <si>
    <t>Briežuciema pagasta Tautas nams</t>
  </si>
  <si>
    <t>Lazdulejas saieta nams</t>
  </si>
  <si>
    <t>Nemateriālās kultūras mantojuma centrs "Upīte"</t>
  </si>
  <si>
    <t>Balvu kultūras un atpūtas centra pasākumi</t>
  </si>
  <si>
    <t>08.600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</si>
  <si>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</si>
  <si>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</si>
  <si>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</si>
  <si>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</si>
  <si>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</si>
  <si>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</si>
  <si>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Eglaines pamatkola</t>
  </si>
  <si>
    <t>Bērzpils pamatskolas Krišjāņu pirmsskolas grupa</t>
  </si>
  <si>
    <t>Vidusskolas</t>
  </si>
  <si>
    <t>Balvu profesionālā un vispāizglītojošā vidusskola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</si>
  <si>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</si>
  <si>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</si>
  <si>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</si>
  <si>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</si>
  <si>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</si>
  <si>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</si>
  <si>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</si>
  <si>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</si>
  <si>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</si>
  <si>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</si>
  <si>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Domes priekšsēdētājs                                                                                               S.Maksimovs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</si>
  <si>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</si>
  <si>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</si>
  <si>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</si>
  <si>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</si>
  <si>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</si>
  <si>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</si>
  <si>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Vecumu pagasta teritorijas apsaimniekošana</t>
  </si>
  <si>
    <t>Rekavas komunālā saimniecība - apkure</t>
  </si>
  <si>
    <t>Žīguru komunālā saimniecība - ūdens</t>
  </si>
  <si>
    <t>2.pielikums</t>
  </si>
  <si>
    <t>Ieņēmumi</t>
  </si>
  <si>
    <t>Ieņēmumu veidi</t>
  </si>
  <si>
    <t>KOPĀ (EUR)</t>
  </si>
  <si>
    <t>Vispārējie pamatbudžeta ieņēmumi (EUR)</t>
  </si>
  <si>
    <t>Maksas pakalpojumi un pašu ieņēmumi (EUR)</t>
  </si>
  <si>
    <t>Valsts mērķdotācijas (EUR)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</si>
  <si>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</si>
  <si>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</si>
  <si>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</si>
  <si>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</si>
  <si>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</si>
  <si>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</si>
  <si>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</si>
  <si>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</si>
  <si>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</si>
  <si>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</si>
  <si>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</si>
  <si>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</si>
  <si>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</si>
  <si>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</si>
  <si>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</si>
  <si>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</si>
  <si>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</si>
  <si>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</si>
  <si>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</si>
  <si>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</si>
  <si>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</si>
  <si>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</si>
  <si>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</si>
  <si>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</si>
  <si>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</si>
  <si>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</si>
  <si>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</si>
  <si>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</si>
  <si>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</si>
  <si>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</si>
  <si>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Nekustamā īpašuma naodoklis par mājokļiem-iepriekšējo gadu parādi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</si>
  <si>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</si>
  <si>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</si>
  <si>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</si>
  <si>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</si>
  <si>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</si>
  <si>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</si>
  <si>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</si>
  <si>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</si>
  <si>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</si>
  <si>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</si>
  <si>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</si>
  <si>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</si>
  <si>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</si>
  <si>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</si>
  <si>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</si>
  <si>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</si>
  <si>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</si>
  <si>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</si>
  <si>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</si>
  <si>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</si>
  <si>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</si>
  <si>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</si>
  <si>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</si>
  <si>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</si>
  <si>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</si>
  <si>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9.4.9.1.</t>
  </si>
  <si>
    <t>Nodeva par dzīves vietas deklarēšanu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</si>
  <si>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</si>
  <si>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</si>
  <si>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</si>
  <si>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</si>
  <si>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</si>
  <si>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</si>
  <si>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</si>
  <si>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Pašvaldības nodeva par reklāmas,afišu un sludinājumu izvietošanu publiskajās vietās</t>
  </si>
  <si>
    <t>9.5.2.1.</t>
  </si>
  <si>
    <t>Pašvaldības nodeva par būvatļaujas saņemšanu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</si>
  <si>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</si>
  <si>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</si>
  <si>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</si>
  <si>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</si>
  <si>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</si>
  <si>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</si>
  <si>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10.1.4.1.</t>
  </si>
  <si>
    <t>Naudas sodi, ko uzliek pašvaldības administratīvo pārkāpumu komisija</t>
  </si>
  <si>
    <t>10.1.4.2.</t>
  </si>
  <si>
    <t>Naudas sodi, ko uzliek pašvaldības policija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</si>
  <si>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</si>
  <si>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</si>
  <si>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</si>
  <si>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</si>
  <si>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</si>
  <si>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</si>
  <si>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12.3.9.9.4</t>
  </si>
  <si>
    <t>Pārējie ieņēmumi</t>
  </si>
  <si>
    <t>Ziemeļlatgales sporta centrs (pasākumi)</t>
  </si>
  <si>
    <t>Latvijas darba devēju konfederācijas finansējums Balvu Profesionālajai un vispārizglītojošai vidusskolai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</si>
  <si>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</si>
  <si>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</si>
  <si>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</si>
  <si>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</si>
  <si>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</si>
  <si>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</si>
  <si>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</si>
  <si>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</si>
  <si>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13.2.2.0.</t>
  </si>
  <si>
    <t>Ieņēmumi no mežu īpašumu pārdošanas</t>
  </si>
  <si>
    <t>17.0.0.0.</t>
  </si>
  <si>
    <t>NO VALSTS BUDŽETA DAĻĒJI FINANSĒTO PUBLISKO PERSONU UN BUDŽETA NEFINANSĒTO IESTĀŽU TRANSFERTI</t>
  </si>
  <si>
    <t>Latgales plānošanas reģiona finansējums projektam "Deinstitucionalizācijas pasākumu īstenošana Latgales reģionā"</t>
  </si>
  <si>
    <t>17.2.0.0.</t>
  </si>
  <si>
    <t>Dienas aprūpes centrs un grupu dzīvokļi Viļaka</t>
  </si>
  <si>
    <t>18.0.0.0.</t>
  </si>
  <si>
    <t>VALSTS BUDŽETA TRANSFERTI</t>
  </si>
  <si>
    <t>18.6.2.0.</t>
  </si>
  <si>
    <t>Pašvaldības saņemtie valsts budžeta transferti noteiktam mērķim</t>
  </si>
  <si>
    <t>18.6.2.0.02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</si>
  <si>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</si>
  <si>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</si>
  <si>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</si>
  <si>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18.6.2.0.03</t>
  </si>
  <si>
    <t>Mērķdotācijas pašvaldības izglītības iestāžu piecgadīgo un sešgadīgo bērnu apmācības pedagogu darba samaksai un valsts soc.apdroš.obligātajām iemaksām</t>
  </si>
  <si>
    <t>18.6.2.0.04</t>
  </si>
  <si>
    <t>Mērķdotācija audžuģimenēm par bērna uzturnaudas palielināšanu</t>
  </si>
  <si>
    <t>18.6.2.0.05</t>
  </si>
  <si>
    <t>Valsts dotācija autoceļu (ielu) uzturēšanai</t>
  </si>
  <si>
    <t>18.6.2.0.06</t>
  </si>
  <si>
    <t>Valsts dotācija sporta skolai</t>
  </si>
  <si>
    <t>18.6.2.0.07</t>
  </si>
  <si>
    <t>Valsts dotācija mūzikas un mākslas skolām</t>
  </si>
  <si>
    <t>18.6.2.0.08</t>
  </si>
  <si>
    <t>Valsts dotācija 1.-4.klašu brīvpusdienu daļējai apmaksai</t>
  </si>
  <si>
    <t>18.6.2.0.13</t>
  </si>
  <si>
    <t>MD māksliniecisko kolektīvu vadītāju darba samaksai un valsts sociālās apdrošināšanas obligātajām iemaksām</t>
  </si>
  <si>
    <t>Lazdukalna Saieta nams</t>
  </si>
  <si>
    <t>Briežuciema tautas nams</t>
  </si>
  <si>
    <t>Vīksnas tautas nams</t>
  </si>
  <si>
    <t>Viļakas Kultūras nams</t>
  </si>
  <si>
    <t>Medņevas tautas nams</t>
  </si>
  <si>
    <t>Vectilžas sporta un atpūtas centrs</t>
  </si>
  <si>
    <t>18.6.2.0.14</t>
  </si>
  <si>
    <t>Valsts un pašvaldības vienotā klientu apkalpošanas centra uzturēšana</t>
  </si>
  <si>
    <t>Latvijas Skolas soma</t>
  </si>
  <si>
    <t>18.6.2.0.18.</t>
  </si>
  <si>
    <t>18.6.2.0.23</t>
  </si>
  <si>
    <t>Feldšerpunktu dotācija</t>
  </si>
  <si>
    <t>Briežuciema feldšeru punkts</t>
  </si>
  <si>
    <t>Krišjāņu feldšeru punkts</t>
  </si>
  <si>
    <t>Lazdulejas feldšeru punkts</t>
  </si>
  <si>
    <t>Vectilžas feldšeru punkts</t>
  </si>
  <si>
    <t>Vīksnas feldšeru punkts</t>
  </si>
  <si>
    <t>Kubulu feldšeru punkts</t>
  </si>
  <si>
    <t>Skujetnieku feldšeru punkts</t>
  </si>
  <si>
    <t>Upītes feldšeru punkts</t>
  </si>
  <si>
    <t>18.6.2.0.20</t>
  </si>
  <si>
    <t>LM finansējums asistenta pakalpojumiem personām ar invaliditāti</t>
  </si>
  <si>
    <t>18.6.2.0.30</t>
  </si>
  <si>
    <t>18.6.2.0.47</t>
  </si>
  <si>
    <t>18.6.2.0.54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</si>
  <si>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</si>
  <si>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</si>
  <si>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</si>
  <si>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18.6.3.0.04</t>
  </si>
  <si>
    <t>Atbalsts izglītojāmo individuālo kompetenču attīstībai</t>
  </si>
  <si>
    <t>18.6.3.0.05</t>
  </si>
  <si>
    <t>18.6.3.0.15</t>
  </si>
  <si>
    <t>Atbalsts priekšlaicīgas mācību pārtraukšanas samazināšanai</t>
  </si>
  <si>
    <t>18.6.4.0.</t>
  </si>
  <si>
    <t>Pašvaldību budžetā saņemta dotācijas no pašvaldības finanšu izlīdzināšanas fonda</t>
  </si>
  <si>
    <t>Sociālās aprūpes centrs "Rugāji"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</si>
  <si>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</si>
  <si>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</si>
  <si>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</si>
  <si>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</si>
  <si>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</si>
  <si>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21.3.5.1.</t>
  </si>
  <si>
    <t>Mācību maksa</t>
  </si>
  <si>
    <t>Balvu Mākslas skola</t>
  </si>
  <si>
    <t>Balvu Mūzikas skola</t>
  </si>
  <si>
    <t>Baltinavas Mūzikas un mākslas skola</t>
  </si>
  <si>
    <t>21.3.5.2.</t>
  </si>
  <si>
    <t>Ieņēmumi no vecāku maksām</t>
  </si>
  <si>
    <t>Medņevas PII "Pasaciņa"</t>
  </si>
  <si>
    <t>Viļakas PII "Namiņš"</t>
  </si>
  <si>
    <t>Baltinavas vidusskolas pirmsskolas izglītības grupas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</si>
  <si>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</si>
  <si>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</si>
  <si>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</si>
  <si>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</si>
  <si>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</si>
  <si>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</si>
  <si>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</si>
  <si>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telpu nomu (novads)</t>
  </si>
  <si>
    <t>Valsts un pašvaldības vienotā klientu apkalpošanas centrs</t>
  </si>
  <si>
    <t>Vīksnas pagasta Tautas nams</t>
  </si>
  <si>
    <t>21.3.8.3.</t>
  </si>
  <si>
    <t>Ieņēmumi no kustamā īpašuma iznomāšanas</t>
  </si>
  <si>
    <t>Viļakas pilsētas komunālā saimniecība-notekūdeņu apsaimniekošana</t>
  </si>
  <si>
    <t>Viļakas Mūzikas un mākslas skola</t>
  </si>
  <si>
    <t>21.3.8.4.</t>
  </si>
  <si>
    <t>Ieņēmumi par zemes nomu</t>
  </si>
  <si>
    <t>21.3.8.9.</t>
  </si>
  <si>
    <t>Pārējie ieņēmumi par nomu un īri</t>
  </si>
  <si>
    <t>Žīguru pārvaldes pašvaldības dzīvokļu uzturēšana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</si>
  <si>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</si>
  <si>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</si>
  <si>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</si>
  <si>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</si>
  <si>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</si>
  <si>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</si>
  <si>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Kubulu FVP</t>
  </si>
  <si>
    <t>Krišjāņu FVP</t>
  </si>
  <si>
    <t>Lazdulejas FVP</t>
  </si>
  <si>
    <t>Vectilžas FVP</t>
  </si>
  <si>
    <t>Vīksnas FVP</t>
  </si>
  <si>
    <t>21.3.9.3.</t>
  </si>
  <si>
    <t>Ieņēmumi par biļešu realizāciju</t>
  </si>
  <si>
    <t>Bērzpils pagasta Saieta nams</t>
  </si>
  <si>
    <t>Kubulu Kultūras nams</t>
  </si>
  <si>
    <t>Rugāju Tautas nams</t>
  </si>
  <si>
    <t>Nemateiālās kultūras mantojuma centrs "Upīte"</t>
  </si>
  <si>
    <t>21.3.9.4.</t>
  </si>
  <si>
    <t>Ieņēmumi par dzīvokļu un komunālajiem pakalpojumiem</t>
  </si>
  <si>
    <t>Balvu novada pašvaldība</t>
  </si>
  <si>
    <t>P/A SAN-TEX</t>
  </si>
  <si>
    <t>21.3.9.4.2.</t>
  </si>
  <si>
    <t>Ieņēmumi par komunālājiem pakalpojumiem</t>
  </si>
  <si>
    <t>Kupravas pagasta komunālā saimniecība-apkure</t>
  </si>
  <si>
    <t>`</t>
  </si>
  <si>
    <t>Krišjāņu pagasta komunālā saimniecība-apkure</t>
  </si>
  <si>
    <t>Vecumu komunālā saimniecība-apkure</t>
  </si>
  <si>
    <t>Viļakas pilsētas komunālā saimniecība-apkure</t>
  </si>
  <si>
    <t>Žīguru pagasta komunālā saimniecība-apkure</t>
  </si>
  <si>
    <t>Balvu pagasta komunālā saimniecība-ūdens</t>
  </si>
  <si>
    <t>Baltinavas komunālā saimniecība-ūdens</t>
  </si>
  <si>
    <t>Bērzpils komunālā saimniecība-ūdens</t>
  </si>
  <si>
    <t>Krišjāņu pagasta komunālā saimniecība-ūdens</t>
  </si>
  <si>
    <t>Kubulu pagasta komunālā saimniecība-ūdens</t>
  </si>
  <si>
    <t>Kupravas pagasta komunālā saimniecība-ūdens</t>
  </si>
  <si>
    <t>Lazdukalna pagasts komunālā saimniecība-ūdens</t>
  </si>
  <si>
    <t>Rugāju pagasta komunālā saimniecība-ūdens</t>
  </si>
  <si>
    <t>Vecumu komunālā saimniecība-ūdens</t>
  </si>
  <si>
    <t>Žīguru pagasta komunālā saimniecība-ūdens</t>
  </si>
  <si>
    <t>Baltinavas pagasta komunālā saimniecība-notekūdeņu apsaimniekošana</t>
  </si>
  <si>
    <t>Bērzpils pagasta komunālā saimniecība-notekūdeņu apsaimniekošana</t>
  </si>
  <si>
    <t>Kubulu pagasta komunālā saimniecība-notekūdeņu apsaimniekošana</t>
  </si>
  <si>
    <t>Kupravas pagasta komunālā saimniecība-notekūdeņu apsaimniekošana</t>
  </si>
  <si>
    <t>Krišjāņu pagasta komunālā saimniecība-notekūdeņu apsaimniekošana</t>
  </si>
  <si>
    <t>Lazdukalna pagasta komunālā saimniecība-notekūdeņu apsaimniekošana</t>
  </si>
  <si>
    <t>Medņevas pagasta komunālā saimniecība-notekūdeņu apsaimniekošana</t>
  </si>
  <si>
    <t>Rekavas komunālā saimniecība - notekūdeņu apsaimniekošana</t>
  </si>
  <si>
    <t>Tilžas komunālā saimniecība - notekūdeņu apsaimniekošana</t>
  </si>
  <si>
    <t>Upītes komunālā saimniecība - notekūdeņu apsaimniekošana</t>
  </si>
  <si>
    <t>Vecumu komunālā saimniecība-notekūdeņu apsaimniekošana</t>
  </si>
  <si>
    <t>Rugāju pagasta komunālā saimniecība-notekūdeņu apsaimniekošana</t>
  </si>
  <si>
    <t>Žīguru pagasta komunālā saimniecība-notekūdeņu apsaimniekošana</t>
  </si>
  <si>
    <t>Viļakas pilsētas komunālā saimniecība-atkritumu apsaimniekošana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</si>
  <si>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</si>
  <si>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</si>
  <si>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</si>
  <si>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</si>
  <si>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</si>
  <si>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</si>
  <si>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</si>
  <si>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</si>
  <si>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</si>
  <si>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</si>
  <si>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Pašvaldības policija (atskurbtuve)</t>
  </si>
  <si>
    <t>21.3.9.9.7.</t>
  </si>
  <si>
    <t>Ieņēmumi no darbinieku ēdināšanas</t>
  </si>
  <si>
    <t xml:space="preserve">Bērzkalnes PII 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</si>
  <si>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</si>
  <si>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</si>
  <si>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</si>
  <si>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</si>
  <si>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21.4.9.0.</t>
  </si>
  <si>
    <t>Citi iepriekš neklasificētie pašu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</si>
  <si>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</si>
  <si>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</si>
  <si>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</si>
  <si>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</si>
  <si>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</si>
  <si>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</si>
  <si>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</si>
  <si>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</si>
  <si>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</si>
  <si>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</si>
  <si>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</si>
  <si>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</si>
  <si>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</si>
  <si>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</si>
  <si>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</si>
  <si>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</si>
  <si>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</si>
  <si>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</si>
  <si>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</si>
  <si>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</si>
  <si>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</si>
  <si>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</si>
  <si>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</si>
  <si>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</si>
  <si>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</si>
  <si>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</si>
  <si>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</si>
  <si>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</si>
  <si>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</si>
  <si>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</si>
  <si>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</si>
  <si>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</si>
  <si>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</si>
  <si>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</si>
  <si>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</si>
  <si>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</si>
  <si>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</si>
  <si>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</si>
  <si>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</si>
  <si>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</si>
  <si>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</si>
  <si>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</si>
  <si>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</si>
  <si>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</si>
  <si>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</si>
  <si>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</si>
  <si>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</si>
  <si>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</si>
  <si>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</si>
  <si>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</si>
  <si>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</si>
  <si>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</si>
  <si>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</si>
  <si>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</si>
  <si>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</si>
  <si>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</si>
  <si>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</si>
  <si>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</si>
  <si>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</si>
  <si>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</si>
  <si>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</si>
  <si>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</si>
  <si>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</si>
  <si>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</si>
  <si>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</si>
  <si>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</si>
  <si>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</si>
  <si>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</si>
  <si>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</si>
  <si>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F40020010</t>
  </si>
  <si>
    <t>Atlikums             uz gada sākumu</t>
  </si>
  <si>
    <t>Izglītības  pārvalde - vasaras nometnes</t>
  </si>
  <si>
    <t>Ieņēmumi no kokmateriālu realizācijas</t>
  </si>
  <si>
    <t>Valsts dotācija Ukrainas civiliedzīvotāju izmitināšanas iespējām</t>
  </si>
  <si>
    <t>Ukrainas civiliedzīvotāju izmitināšanas iespējām</t>
  </si>
  <si>
    <t>Veļas mājas pakalpojumi iedzīvotājiem Baltinavā</t>
  </si>
  <si>
    <t>Lazdulējas Saieta nams</t>
  </si>
  <si>
    <t>Kubulu PII Ieviņa</t>
  </si>
  <si>
    <t>Atbalsts Ukrainas civiliedzīvotājiem un izmitināšanas iespējām</t>
  </si>
  <si>
    <t>Ieņēmumi par nedzīvojamā nekustamā īpašuma nomu</t>
  </si>
  <si>
    <t>PAŠVALDĪBU BUDŽETU TRANSFERTI</t>
  </si>
  <si>
    <t>19.0.0.0.</t>
  </si>
  <si>
    <t>19.2.0.0.01.</t>
  </si>
  <si>
    <t>Ieņēmumi izglītības funkciju nodoršināšanai</t>
  </si>
  <si>
    <t>Pašvaldību budžetu transferti</t>
  </si>
  <si>
    <t>19.0.0.0</t>
  </si>
  <si>
    <t>Pašvaldību saņemtie transferti no citām pašvaldībām</t>
  </si>
  <si>
    <t>19.2.0.0.</t>
  </si>
  <si>
    <t>Balvu sporta skola trenažieru zāles izmantošanu</t>
  </si>
  <si>
    <t>Tilžas pamatskolas Tilžas pirmsskolas grupa</t>
  </si>
  <si>
    <t>Tilžas pamatskolas Vectilžas pirmsskolas grupa</t>
  </si>
  <si>
    <t>Balvu sporta skola pilsētas stadiona maksas pakalpojumu ieņēmumi</t>
  </si>
  <si>
    <t>Rekavas vidusskola pirmsskolas grupas</t>
  </si>
  <si>
    <t>Viduču pamatskola Žīguros pirmsskolas grupas</t>
  </si>
  <si>
    <t>Balvu Profesionālā un vispārizglītojošā vidusskolas tālākizglītības centrs</t>
  </si>
  <si>
    <t>Bērzkalnes komunālā saimniecība-ūdens</t>
  </si>
  <si>
    <t>Briežuciema komunālā saimniecība-ūdens</t>
  </si>
  <si>
    <t>Lazdulejas pagasts komunālā saimniecība-ūdens</t>
  </si>
  <si>
    <t>Vectilžas komunālā saimniecība - ūdens</t>
  </si>
  <si>
    <t>Vīksnas pagasta komunālā saimniecība-ūdens</t>
  </si>
  <si>
    <t>Bērzkalnes pagasta komunālā saimniecība-notekūdeņu apsaimniekošana</t>
  </si>
  <si>
    <t>Briežuciema pagasta komunālā saimniecība-notekūdeņu apsaimniekošana</t>
  </si>
  <si>
    <t>Lazdulejas pagasta komunālā saimniecība-notekūdeņu apsaimniekošana</t>
  </si>
  <si>
    <t>Vīksnas komunālā saimniecība - notekūdeņu apsaimniekošana</t>
  </si>
  <si>
    <t>Balvu profesionālā un vispāizglītojošā vidusskolas tālākizglītības centrs</t>
  </si>
  <si>
    <t>Bērzkalnes komunālā saimniecība - ūdens</t>
  </si>
  <si>
    <t>Briežuciema komunālā saimniecība - ūdens</t>
  </si>
  <si>
    <t>Lazdulejas komunālā saimniecība - ūdens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</si>
  <si>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</si>
  <si>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</si>
  <si>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</si>
  <si>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Vīksnas komunālā saimniecība-notekūdenu apsaimniekošana</t>
  </si>
  <si>
    <t>Briežuciema komunālā saimniecība -notekūdeņu apsaimniekošana</t>
  </si>
  <si>
    <t>Vīksnas komunālā saimniecība -notekūdeņu apsaimniekošana</t>
  </si>
  <si>
    <t>Vīksnas komunālā saimniecība - ūdens</t>
  </si>
  <si>
    <t>Bērzkalnes komunālā saimniecība -notekūdeņu apsaimniekošana</t>
  </si>
  <si>
    <t>Tilžas pamatskolas Tilžas pirmsskolas grupas</t>
  </si>
  <si>
    <t>Tilžas pamatskolas Vectilžas pirmsskolas grupas</t>
  </si>
  <si>
    <t>Autoceļu (ielu) uzturēšanas līdzekļu rezerves fonds</t>
  </si>
  <si>
    <t>Balvu pilsētas stadiona rekonstrukcija</t>
  </si>
  <si>
    <t>Baltinavas pagasta teritorijas apsaimniekošana</t>
  </si>
  <si>
    <t>Izdevumi periodikas iegādei bibliotēku krājumiem</t>
  </si>
  <si>
    <t>Skolēnu pārvadāšana Susāju pārvalde</t>
  </si>
  <si>
    <t>Atalgojums</t>
  </si>
  <si>
    <t>DDVSAOI</t>
  </si>
  <si>
    <t>Viļakas vidusskola</t>
  </si>
  <si>
    <t>Balvu novada pašvaldības pamatbudžets 2024.gadam ( EUR)</t>
  </si>
  <si>
    <t>Apstiprināts 2024. gadam (EUR)</t>
  </si>
  <si>
    <t>Tehniskā aprīkojuma iegāde virssemes ūdeņu kvalitātes uzlabošanai</t>
  </si>
  <si>
    <t>Līdzfinansējums"Dabas lieguma Stompaku purvi" dabas aizsardzības plāna  aktualizēšana</t>
  </si>
  <si>
    <t>18.6.4.1.</t>
  </si>
  <si>
    <t>Papildus valsts dotācija pašvaldībām ar zemiem ienākumiem</t>
  </si>
  <si>
    <t>Balvu Profesionālā un vispārizglītojošā vidusskola Vidzemes iela 26</t>
  </si>
  <si>
    <t>Pašvaldības līdzdalības budžets</t>
  </si>
  <si>
    <t>Balvu pilsētas labiekārtošana</t>
  </si>
  <si>
    <t>Tehniskā aprīkojuma iegāde virszemes ūdeņu kvalitātes uzlabošanai</t>
  </si>
  <si>
    <t>Dotācija no līdzekļiem neparedzētiem gadījumiem atskurbtuves uzturēšanai</t>
  </si>
  <si>
    <t>Erasmus + projekts Play, Learn, Act, Ensure Sustainable Development Viļakas vidusskola</t>
  </si>
  <si>
    <t>Eglaines pamatskolas pirmsskolas grupas</t>
  </si>
  <si>
    <t>Rugāju vidusskolas pirmsskolas grupas</t>
  </si>
  <si>
    <t>Lazdulejas komunālā saimniecība.</t>
  </si>
  <si>
    <t>Lazdukalna pagasta apgaismojuma un autoceļu (ielu) uzturēšana</t>
  </si>
  <si>
    <t>Rubeņu tautas nams</t>
  </si>
  <si>
    <t>21.3.9.7</t>
  </si>
  <si>
    <t>Budžeta iestādes saņemtā atlīdzība no apdrošināšanas sabiedrības par bojātu nekustamo īpašumu un kustamo mantu</t>
  </si>
  <si>
    <t>Namateriālās kultūras mantojuma centrs "Upīte"</t>
  </si>
  <si>
    <t>Viļakas  vidusskolas pirmsskolas grupa</t>
  </si>
  <si>
    <t>8 Starptaustiskais mākslas plenērs "Valdis Bušs 2024"</t>
  </si>
  <si>
    <t>Kubulu ciema ielu pārbūve</t>
  </si>
  <si>
    <t>"Par Balvu novada pašvaldības 2024.gada budžetu"</t>
  </si>
  <si>
    <t>Balvu novada pašvaldības 2024.gada  pamatbudžeta izdevumi atbilstoši ekonomiskajām kategorijām (EUR)</t>
  </si>
  <si>
    <t>Apstiprināts 2024.gadam (EUR)</t>
  </si>
  <si>
    <t>Balvu novada pašvaldības pamatbudžeta izdevumi 2024.gadam (EUR)</t>
  </si>
  <si>
    <t>Balvu novada pašvaldības pamatbudžeta ieņēmumi 2024.gadam (EUR)</t>
  </si>
  <si>
    <t>18.6.2.0.27</t>
  </si>
  <si>
    <t>Algotie sabiedriskie darbi</t>
  </si>
  <si>
    <t xml:space="preserve">ERASMUS+ projekts Nr. 2023-1-LV02-KA154-YOU-000127946  "Uzdrīksties redzēt plašāk" Rugāju vidusskola </t>
  </si>
  <si>
    <t xml:space="preserve">Pansionāts "Balvi" </t>
  </si>
  <si>
    <t>Projekts ERASMUS+ 
Nr. 2023-1-LV01-KA121-SCH-000125225 Rugāju vidusskola</t>
  </si>
  <si>
    <t>Projekts ERASMUS+
Nr. 2023-1-LV01-KA121-SCH-000125225 Rugāju vidusskola</t>
  </si>
  <si>
    <t>ERASMUS+ projekts Rugāju vidusskola Nr. 2023-1-LV01-KA121-SCH-000125225</t>
  </si>
  <si>
    <t>Lazdukalna pagasta komunālā saimniecība-ūdens</t>
  </si>
  <si>
    <t xml:space="preserve">Tilžas pagasta komunālā saimniecība </t>
  </si>
  <si>
    <t xml:space="preserve">Baltinavas pagasta pārvalde </t>
  </si>
  <si>
    <t xml:space="preserve">Sporta pasākumi novadā </t>
  </si>
  <si>
    <t>Projekts "Militārais mantojums II"</t>
  </si>
  <si>
    <t>Projekts "Green Youth Emprower"</t>
  </si>
  <si>
    <t xml:space="preserve">Balvu Profesionālā un vispārizglītojošā vidusskola </t>
  </si>
  <si>
    <t xml:space="preserve">Vīksnas pagasta komunālā saimniecība </t>
  </si>
  <si>
    <t xml:space="preserve">Sporta skolas peldbaseins </t>
  </si>
  <si>
    <t xml:space="preserve">Balvu sākumskola </t>
  </si>
  <si>
    <t xml:space="preserve">Rekavas vidusskola </t>
  </si>
  <si>
    <t xml:space="preserve">Baltinavas Mūzikas un mākslas skola </t>
  </si>
  <si>
    <t xml:space="preserve">Šķilbēnu pagasta teritorijas apsaimniekošana </t>
  </si>
  <si>
    <t xml:space="preserve">Viļakas Mūzikas un mākslas skola </t>
  </si>
  <si>
    <t>Briežuciema komunālā saimniecība</t>
  </si>
  <si>
    <t xml:space="preserve">Balvu Kultūras un atpūtas centrs </t>
  </si>
  <si>
    <t xml:space="preserve">Baltinavas kultūras nams </t>
  </si>
  <si>
    <t xml:space="preserve">Balvu Novada muzejs </t>
  </si>
  <si>
    <t xml:space="preserve">P/A SAN-TEX </t>
  </si>
  <si>
    <t>Sociālās mājas</t>
  </si>
  <si>
    <t xml:space="preserve">Bērzpils pamatskola </t>
  </si>
  <si>
    <t>Balvu Profesionālā un vispārizglītojošā vidusskolas tālākizglītības centrs  Brīvības 47</t>
  </si>
  <si>
    <t xml:space="preserve">Bērzkalnes pagasta komunālā saimniecība </t>
  </si>
  <si>
    <t xml:space="preserve">Kupravas pagasta komunālā saimniecība </t>
  </si>
  <si>
    <t xml:space="preserve">Šķilbēnu pagasta komunālā saimniecība </t>
  </si>
  <si>
    <t xml:space="preserve">Vecumu komunālā saimniecība </t>
  </si>
  <si>
    <t xml:space="preserve">Sociālā pārvalde </t>
  </si>
  <si>
    <t xml:space="preserve">Balvu Centrālā bibliotēka </t>
  </si>
  <si>
    <t>Balvu kultūras un atpūtas centra kultūras pasākumi</t>
  </si>
  <si>
    <t xml:space="preserve">Kultūrvēsturiskā lauku sēta "Vēršukalns" </t>
  </si>
  <si>
    <t xml:space="preserve">Skolēnu pārvadāšana Susāju pagasta pārvalde </t>
  </si>
  <si>
    <t xml:space="preserve">Skolēnu pārvadāšana Šķilbēnu pagasta pārvalde </t>
  </si>
  <si>
    <t xml:space="preserve">Skolēnu pārvadāšana Viļakā </t>
  </si>
  <si>
    <t xml:space="preserve">Rugāju pagasta komunālā saimniecība </t>
  </si>
  <si>
    <t xml:space="preserve">Viļakas pilsētas labiekārtošana </t>
  </si>
  <si>
    <t xml:space="preserve">Balkanu Dabas parks </t>
  </si>
  <si>
    <t xml:space="preserve">Viļakas muzejs </t>
  </si>
  <si>
    <t xml:space="preserve">Baltinavas muzejs </t>
  </si>
  <si>
    <t xml:space="preserve">“Remigrācijas atbalsta pasākums – uzņēmējdarbības atbalsts” </t>
  </si>
  <si>
    <t>17.2.0.0</t>
  </si>
  <si>
    <t>Vēlēšanu komisija</t>
  </si>
  <si>
    <t>Līdzfinansējums "Dabas lieguma Stompaku purvi" dabas aizsardzības plāna  aktualizēšana</t>
  </si>
  <si>
    <t xml:space="preserve">Projekts “Remigrācijas atbalsta pasākums – uzņēmējdarbības atbalsts” </t>
  </si>
  <si>
    <t>Vēlēšanu komisijas finansējums balsu skaitīšanai</t>
  </si>
  <si>
    <t>18.6.2.0.28</t>
  </si>
  <si>
    <t>Centrālā bibliotēka saņemtās valsts dotācijas</t>
  </si>
  <si>
    <t>Domes priekšsēdētājs                                                                        S.Maksimovs</t>
  </si>
  <si>
    <t>Domes priekšsēdētājs                                                                                                    S.Maksimovs</t>
  </si>
  <si>
    <t>Sociāli pakalpojumi</t>
  </si>
  <si>
    <t>21.0.0.0</t>
  </si>
  <si>
    <t>21.1.0.0</t>
  </si>
  <si>
    <t>Iestādes ieņēmumi no ārvalstu finanšu palīdzības</t>
  </si>
  <si>
    <t>21.1.9.0</t>
  </si>
  <si>
    <t>Ieņēmumi no citu Eiropas Savienības politiku instrumentu līdzfinansēto projektu un pasākumu īstenošanas un citu valstu finanšu palīdzības programmu īstenošanas, saņemtā ārvalstu finanšu palīdzība</t>
  </si>
  <si>
    <t>21.1.0.0.</t>
  </si>
  <si>
    <t>Latvijas neredzīgo biedrība</t>
  </si>
  <si>
    <t>Balvu novada domes</t>
  </si>
  <si>
    <t>2024.gada 25.janvāra saistošajiem noteikumiem Nr.1/2024</t>
  </si>
  <si>
    <t>Daudzfunkcionālais  sociālo pakalpojumu centrs</t>
  </si>
  <si>
    <t>Rekavas  komunālā saimniecība notekūdeņi</t>
  </si>
  <si>
    <t>Grozījumi</t>
  </si>
  <si>
    <t>Apstiprināts ar grozījumiem 2024.gadam (EUR)</t>
  </si>
  <si>
    <t>Grozījumi 2024.gada 25.janvāra saistošajiem noteikumiem Nr.1/2024</t>
  </si>
  <si>
    <t>8.3.0.0</t>
  </si>
  <si>
    <t>Ieņēmumi no dividendēm(ieņēmumi no valsts  (pašvaldību) kapitāla izmantošanas</t>
  </si>
  <si>
    <t>Pavisam (EUR)</t>
  </si>
  <si>
    <t>Ieņēmumi no dividendēm (ieņēmumi no valsts  (pašvaldību) kapitāla izmantošanas)</t>
  </si>
  <si>
    <t>18/6/2/0/12</t>
  </si>
  <si>
    <t>Valsts dotācija macību līdzekļu un mācību literatūras iegādei</t>
  </si>
  <si>
    <t>Projekts Starptautiskais amatierteātru klasiskās dramaturģijas festivāls ,,Ķiršu dārzs 2024"</t>
  </si>
  <si>
    <t>Projekts VI starptautiskais tautu deju festivāls "Eima, eima"</t>
  </si>
  <si>
    <t>21.4.9.9.3</t>
  </si>
  <si>
    <t>Dažādi ieņmumi</t>
  </si>
  <si>
    <t>Projekts"IX Latgales stāstnieku festivāls "Omotu stosti""</t>
  </si>
  <si>
    <t>Projekts "Lasītāji satiek rakstniekus 2024"</t>
  </si>
  <si>
    <t>Projekts "XXV Balvu kamermūzikas festivāls"</t>
  </si>
  <si>
    <t>Projekts "Viļakas viduslaiku pilsdrupu konversācijas plāna  detalizēta izstrāde</t>
  </si>
  <si>
    <t>"Projekts "Ekspozīcijas "Viļakas aokārtne vēstures līkločos"noslēguma posma realizācija</t>
  </si>
  <si>
    <t>Projekts "Plecu pie pleca"</t>
  </si>
  <si>
    <t>18.6.2.0.17</t>
  </si>
  <si>
    <t>KKF projekti</t>
  </si>
  <si>
    <t>Projekts "Grāmatniecība, lasišanas paradumi un to kultivēšana Ziemeļlatgalē"</t>
  </si>
  <si>
    <t>18.6.2.0.15</t>
  </si>
  <si>
    <t>Jaunatnes starptautisko programmu aģentūra-projekti</t>
  </si>
  <si>
    <t>18.6.2.0.10</t>
  </si>
  <si>
    <t>Erasmus+ Projekts 2024-1-LV01-KA121-SCH-000209869</t>
  </si>
  <si>
    <t xml:space="preserve"> JSPA Projekts  Nr.2024-1-LV02-KA154-YOU-000237997- "Dots devējam atdodas"</t>
  </si>
  <si>
    <t>JSPA Projekts  Nr.2024-1-LV02-KA154-YOU-000237997- "Dots devējam atdodas"</t>
  </si>
  <si>
    <t>Krišjāņu tautas nams</t>
  </si>
  <si>
    <t>NVA Skolēnu nodarbinātība vasarā</t>
  </si>
  <si>
    <t>Skolēnu nodarbinātība vasarā</t>
  </si>
  <si>
    <t>Valsts dotācija asistentu pakalpojumu nodrošināšanai</t>
  </si>
  <si>
    <t>Izglītības jomas biedrību atbalsts</t>
  </si>
  <si>
    <t>Projekts"Amatu prasmes tūrisma telpā"</t>
  </si>
  <si>
    <t>Valsts dotācijas Ukrainas bērnu apmācībai</t>
  </si>
  <si>
    <t xml:space="preserve">    F22010000</t>
  </si>
  <si>
    <t>Nemateriālās kultūras mantojuma centrs "Upīte" - bibliotēka</t>
  </si>
  <si>
    <t>Nemateriālās kultūras mantojuma centrs "Upīte" - muzejs</t>
  </si>
  <si>
    <t>Projekts "Amatu prasmes tūrisma telpā"</t>
  </si>
  <si>
    <t>Valsts dotācija Balvu Valsts ģinmāzijai</t>
  </si>
  <si>
    <t>Projekts Uzņēmējdarbības atbalsta pasākumi Latgales plānošanas reģionā</t>
  </si>
  <si>
    <t>Projekts Publisko pakalpojumu cilvēkiem ar invaliditāti mājokļu vides pieejamības nodrošināšanā Balvu novadā</t>
  </si>
  <si>
    <t>Publisko pakalpojumu cilvēkiem ar invaliditāti mājokļu vides pieejamības nodrošināšanā Balvu novadā</t>
  </si>
  <si>
    <t>18.6.3.0.13</t>
  </si>
  <si>
    <t xml:space="preserve">Projekts JSPA projekts Balvu novada jauniešu domes izveide" </t>
  </si>
  <si>
    <t>JSPA projekts Balvu novada jauniešu domes izveide" </t>
  </si>
  <si>
    <t>Ielu apgaismojums Balvos</t>
  </si>
  <si>
    <t>ERASMUS+ Projekts Balvu Profesionālās un vispārizglītojošās vidusskolas PandemiArt</t>
  </si>
  <si>
    <t>Balvu Bērnu un jauniešu centra ERASMUS+ projekts Demokrātijas formula</t>
  </si>
  <si>
    <t>19.2.0.0.06</t>
  </si>
  <si>
    <t>Transfērti no citām pašvaldībām projektiem</t>
  </si>
  <si>
    <t>Projekts RoboNet LLI-542, IT programmēšanas un robotikas kompetenču attīstība</t>
  </si>
  <si>
    <t>Bērzpils pamatskolas ERASMUS+ projekts</t>
  </si>
  <si>
    <t>18.6.3.0.09</t>
  </si>
  <si>
    <t>Valsts dotācijas latviešu valodas apguvei Ukrainas bērniem un jauniešiem</t>
  </si>
  <si>
    <t>Balvu valsts ģimnāzijas projekts "Nord Plus"</t>
  </si>
  <si>
    <t>Grozījumi (EUR)</t>
  </si>
  <si>
    <t>Grozījumi  (EUR)</t>
  </si>
  <si>
    <t>2024.gada 26.septembra saistošajiem noteikumiem Nr.16/2024</t>
  </si>
  <si>
    <t>2024.gada 26. septembra saistošajiem noteikumiem Nr.16/2024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</si>
</sst>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u val="single"/>
      <sz val="12"/>
      <color indexed="8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3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00B0F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rgb="FF000000"/>
      </right>
      <top/>
      <bottom/>
    </border>
    <border>
      <left style="thin">
        <color auto="1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5">
    <xf numFmtId="0" fontId="0" fillId="0" borderId="0" xfId="0"/>
    <xf numFmtId="0" fontId="2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0" fontId="10" fillId="0" borderId="0" xfId="0" applyFont="1"/>
    <xf numFmtId="0" fontId="13" fillId="0" borderId="0" xfId="0" applyFont="1"/>
    <xf numFmtId="0" fontId="13" fillId="2" borderId="0" xfId="0" applyFont="1" applyFill="1"/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3" fontId="12" fillId="2" borderId="3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center" wrapText="1"/>
      <protection locked="0"/>
    </xf>
    <xf numFmtId="3" fontId="13" fillId="2" borderId="3" xfId="0" applyNumberFormat="1" applyFont="1" applyFill="1" applyBorder="1" applyAlignment="1" applyProtection="1">
      <alignment horizontal="center" wrapText="1"/>
      <protection locked="0"/>
    </xf>
    <xf numFmtId="0" fontId="12" fillId="0" borderId="3" xfId="0" applyFont="1" applyBorder="1" applyAlignment="1">
      <alignment horizontal="left" wrapText="1"/>
    </xf>
    <xf numFmtId="3" fontId="12" fillId="2" borderId="3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wrapText="1"/>
    </xf>
    <xf numFmtId="3" fontId="13" fillId="2" borderId="3" xfId="0" applyNumberFormat="1" applyFont="1" applyFill="1" applyBorder="1" applyAlignment="1">
      <alignment horizont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3" fontId="12" fillId="2" borderId="3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13" fillId="0" borderId="3" xfId="0" applyFont="1" applyBorder="1"/>
    <xf numFmtId="3" fontId="13" fillId="2" borderId="3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0" xfId="0" applyFont="1"/>
    <xf numFmtId="3" fontId="3" fillId="2" borderId="3" xfId="0" applyNumberFormat="1" applyFont="1" applyFill="1" applyBorder="1" applyAlignment="1">
      <alignment horizontal="center"/>
    </xf>
    <xf numFmtId="3" fontId="9" fillId="0" borderId="3" xfId="0" applyNumberFormat="1" applyFont="1" applyBorder="1"/>
    <xf numFmtId="3" fontId="2" fillId="0" borderId="3" xfId="0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3" fontId="9" fillId="0" borderId="3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/>
    <xf numFmtId="3" fontId="2" fillId="0" borderId="3" xfId="0" applyNumberFormat="1" applyFont="1" applyBorder="1" applyAlignment="1">
      <alignment horizontal="right"/>
    </xf>
    <xf numFmtId="0" fontId="0" fillId="0" borderId="3" xfId="0" applyBorder="1"/>
    <xf numFmtId="2" fontId="2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right"/>
    </xf>
    <xf numFmtId="43" fontId="3" fillId="0" borderId="3" xfId="18" applyFont="1" applyFill="1" applyBorder="1" applyAlignment="1">
      <alignment horizontal="center" vertical="top"/>
    </xf>
    <xf numFmtId="3" fontId="5" fillId="0" borderId="3" xfId="0" applyNumberFormat="1" applyFont="1" applyBorder="1"/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19" fillId="0" borderId="0" xfId="0" applyFont="1"/>
    <xf numFmtId="3" fontId="0" fillId="0" borderId="0" xfId="0" applyNumberFormat="1"/>
    <xf numFmtId="0" fontId="9" fillId="0" borderId="0" xfId="0" applyFont="1"/>
    <xf numFmtId="0" fontId="27" fillId="0" borderId="0" xfId="0" applyFont="1"/>
    <xf numFmtId="1" fontId="8" fillId="0" borderId="0" xfId="0" applyNumberFormat="1" applyFont="1"/>
    <xf numFmtId="0" fontId="9" fillId="0" borderId="3" xfId="0" applyFont="1" applyBorder="1" applyAlignment="1">
      <alignment horizontal="center"/>
    </xf>
    <xf numFmtId="0" fontId="28" fillId="0" borderId="0" xfId="0" applyFont="1"/>
    <xf numFmtId="3" fontId="8" fillId="0" borderId="0" xfId="0" applyNumberFormat="1" applyFont="1"/>
    <xf numFmtId="0" fontId="11" fillId="0" borderId="3" xfId="0" applyFont="1" applyBorder="1" applyAlignment="1">
      <alignment horizontal="center" vertical="top"/>
    </xf>
    <xf numFmtId="0" fontId="11" fillId="0" borderId="3" xfId="0" applyFont="1" applyBorder="1"/>
    <xf numFmtId="0" fontId="9" fillId="0" borderId="3" xfId="0" applyFont="1" applyBorder="1"/>
    <xf numFmtId="0" fontId="11" fillId="0" borderId="3" xfId="0" applyFont="1" applyBorder="1" applyAlignment="1">
      <alignment wrapText="1"/>
    </xf>
    <xf numFmtId="0" fontId="17" fillId="0" borderId="0" xfId="0" applyFont="1"/>
    <xf numFmtId="0" fontId="20" fillId="0" borderId="0" xfId="0" applyFont="1"/>
    <xf numFmtId="0" fontId="25" fillId="0" borderId="0" xfId="0" applyFont="1"/>
    <xf numFmtId="3" fontId="29" fillId="0" borderId="3" xfId="0" applyNumberFormat="1" applyFont="1" applyBorder="1"/>
    <xf numFmtId="3" fontId="29" fillId="0" borderId="3" xfId="0" applyNumberFormat="1" applyFont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/>
    <xf numFmtId="3" fontId="29" fillId="2" borderId="3" xfId="0" applyNumberFormat="1" applyFont="1" applyFill="1" applyBorder="1"/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wrapText="1"/>
    </xf>
    <xf numFmtId="3" fontId="11" fillId="2" borderId="3" xfId="0" applyNumberFormat="1" applyFont="1" applyFill="1" applyBorder="1"/>
    <xf numFmtId="3" fontId="9" fillId="2" borderId="3" xfId="0" applyNumberFormat="1" applyFont="1" applyFill="1" applyBorder="1"/>
    <xf numFmtId="3" fontId="19" fillId="0" borderId="0" xfId="0" applyNumberFormat="1" applyFont="1"/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/>
    </xf>
    <xf numFmtId="0" fontId="11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wrapText="1"/>
    </xf>
    <xf numFmtId="0" fontId="8" fillId="0" borderId="8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 wrapText="1"/>
    </xf>
    <xf numFmtId="3" fontId="18" fillId="2" borderId="3" xfId="0" applyNumberFormat="1" applyFont="1" applyFill="1" applyBorder="1"/>
    <xf numFmtId="0" fontId="30" fillId="2" borderId="3" xfId="0" applyFont="1" applyFill="1" applyBorder="1"/>
    <xf numFmtId="0" fontId="8" fillId="2" borderId="0" xfId="0" applyFont="1" applyFill="1"/>
    <xf numFmtId="0" fontId="27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" fontId="2" fillId="2" borderId="0" xfId="0" applyNumberFormat="1" applyFont="1" applyFill="1"/>
    <xf numFmtId="3" fontId="11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/>
    <xf numFmtId="3" fontId="7" fillId="2" borderId="0" xfId="0" applyNumberFormat="1" applyFont="1" applyFill="1" applyAlignment="1">
      <alignment vertical="top"/>
    </xf>
    <xf numFmtId="0" fontId="31" fillId="0" borderId="3" xfId="0" applyFont="1" applyBorder="1" applyAlignment="1">
      <alignment horizontal="center" vertical="top" wrapText="1"/>
    </xf>
    <xf numFmtId="3" fontId="31" fillId="2" borderId="3" xfId="0" applyNumberFormat="1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/>
    </xf>
    <xf numFmtId="0" fontId="31" fillId="0" borderId="3" xfId="0" applyFont="1" applyBorder="1" applyAlignment="1">
      <alignment horizont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top"/>
    </xf>
    <xf numFmtId="0" fontId="31" fillId="2" borderId="9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19" fillId="2" borderId="0" xfId="0" applyFont="1" applyFill="1"/>
    <xf numFmtId="0" fontId="21" fillId="2" borderId="0" xfId="0" applyFont="1" applyFill="1"/>
    <xf numFmtId="0" fontId="11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left"/>
    </xf>
    <xf numFmtId="0" fontId="18" fillId="2" borderId="3" xfId="0" applyFont="1" applyFill="1" applyBorder="1"/>
    <xf numFmtId="49" fontId="11" fillId="2" borderId="3" xfId="0" applyNumberFormat="1" applyFont="1" applyFill="1" applyBorder="1"/>
    <xf numFmtId="0" fontId="23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22" fillId="2" borderId="0" xfId="0" applyFont="1" applyFill="1"/>
    <xf numFmtId="0" fontId="7" fillId="2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wrapText="1"/>
    </xf>
    <xf numFmtId="3" fontId="9" fillId="2" borderId="10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wrapText="1"/>
    </xf>
    <xf numFmtId="3" fontId="9" fillId="2" borderId="11" xfId="0" applyNumberFormat="1" applyFont="1" applyFill="1" applyBorder="1" applyAlignment="1">
      <alignment horizontal="center" wrapText="1"/>
    </xf>
    <xf numFmtId="3" fontId="9" fillId="2" borderId="9" xfId="0" applyNumberFormat="1" applyFont="1" applyFill="1" applyBorder="1" applyAlignment="1">
      <alignment horizontal="center" wrapText="1"/>
    </xf>
    <xf numFmtId="1" fontId="7" fillId="2" borderId="0" xfId="0" applyNumberFormat="1" applyFont="1" applyFill="1" applyAlignment="1">
      <alignment vertical="top"/>
    </xf>
    <xf numFmtId="1" fontId="8" fillId="2" borderId="0" xfId="0" applyNumberFormat="1" applyFont="1" applyFill="1"/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horizontal="center"/>
    </xf>
    <xf numFmtId="0" fontId="18" fillId="2" borderId="3" xfId="0" applyFont="1" applyFill="1" applyBorder="1" applyAlignment="1">
      <alignment wrapText="1"/>
    </xf>
    <xf numFmtId="3" fontId="9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vertical="top" wrapText="1"/>
    </xf>
    <xf numFmtId="49" fontId="11" fillId="2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3" fontId="13" fillId="0" borderId="3" xfId="0" applyNumberFormat="1" applyFont="1" applyBorder="1"/>
    <xf numFmtId="0" fontId="4" fillId="0" borderId="3" xfId="0" applyFont="1" applyBorder="1"/>
    <xf numFmtId="0" fontId="1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3" fontId="11" fillId="2" borderId="6" xfId="0" applyNumberFormat="1" applyFont="1" applyFill="1" applyBorder="1"/>
    <xf numFmtId="3" fontId="9" fillId="2" borderId="6" xfId="0" applyNumberFormat="1" applyFont="1" applyFill="1" applyBorder="1"/>
    <xf numFmtId="3" fontId="18" fillId="2" borderId="6" xfId="0" applyNumberFormat="1" applyFont="1" applyFill="1" applyBorder="1"/>
    <xf numFmtId="0" fontId="31" fillId="2" borderId="3" xfId="0" applyFont="1" applyFill="1" applyBorder="1"/>
    <xf numFmtId="0" fontId="18" fillId="0" borderId="3" xfId="0" applyFont="1" applyBorder="1"/>
    <xf numFmtId="0" fontId="5" fillId="0" borderId="3" xfId="0" applyFont="1" applyBorder="1"/>
    <xf numFmtId="0" fontId="3" fillId="2" borderId="3" xfId="0" applyFont="1" applyFill="1" applyBorder="1"/>
    <xf numFmtId="0" fontId="5" fillId="2" borderId="3" xfId="0" applyFont="1" applyFill="1" applyBorder="1"/>
    <xf numFmtId="0" fontId="31" fillId="0" borderId="3" xfId="0" applyFont="1" applyBorder="1"/>
    <xf numFmtId="3" fontId="12" fillId="0" borderId="3" xfId="0" applyNumberFormat="1" applyFont="1" applyBorder="1"/>
    <xf numFmtId="0" fontId="9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3" fontId="12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3" fontId="11" fillId="0" borderId="3" xfId="0" applyNumberFormat="1" applyFont="1" applyBorder="1"/>
    <xf numFmtId="3" fontId="13" fillId="0" borderId="0" xfId="0" applyNumberFormat="1" applyFont="1"/>
    <xf numFmtId="0" fontId="7" fillId="2" borderId="3" xfId="0" applyFont="1" applyFill="1" applyBorder="1"/>
    <xf numFmtId="0" fontId="12" fillId="0" borderId="3" xfId="0" applyFont="1" applyBorder="1" applyAlignment="1">
      <alignment horizontal="center"/>
    </xf>
    <xf numFmtId="1" fontId="7" fillId="0" borderId="0" xfId="0" applyNumberFormat="1" applyFont="1" applyAlignment="1">
      <alignment vertical="top" wrapText="1"/>
    </xf>
    <xf numFmtId="3" fontId="7" fillId="2" borderId="13" xfId="0" applyNumberFormat="1" applyFont="1" applyFill="1" applyBorder="1" applyAlignment="1">
      <alignment vertical="top"/>
    </xf>
    <xf numFmtId="0" fontId="31" fillId="0" borderId="2" xfId="0" applyFont="1" applyBorder="1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center" vertical="center" wrapText="1"/>
    </xf>
    <xf numFmtId="3" fontId="13" fillId="0" borderId="15" xfId="0" applyNumberFormat="1" applyFont="1" applyBorder="1" applyAlignment="1">
      <alignment wrapText="1"/>
    </xf>
    <xf numFmtId="3" fontId="9" fillId="0" borderId="6" xfId="0" applyNumberFormat="1" applyFont="1" applyBorder="1"/>
    <xf numFmtId="3" fontId="11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" fontId="7" fillId="0" borderId="0" xfId="0" applyNumberFormat="1" applyFont="1" applyAlignment="1">
      <alignment vertical="top"/>
    </xf>
    <xf numFmtId="0" fontId="31" fillId="3" borderId="3" xfId="0" applyFont="1" applyFill="1" applyBorder="1" applyAlignment="1">
      <alignment horizontal="center" wrapText="1"/>
    </xf>
    <xf numFmtId="0" fontId="34" fillId="0" borderId="0" xfId="0" applyFont="1" applyAlignment="1">
      <alignment vertical="top" wrapText="1"/>
    </xf>
    <xf numFmtId="0" fontId="8" fillId="0" borderId="3" xfId="0" applyFont="1" applyBorder="1"/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top" wrapText="1"/>
    </xf>
    <xf numFmtId="1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/>
    </xf>
    <xf numFmtId="3" fontId="9" fillId="0" borderId="16" xfId="0" applyNumberFormat="1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17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2" fillId="0" borderId="17" xfId="0" applyNumberFormat="1" applyFont="1" applyBorder="1" applyAlignment="1">
      <alignment horizontal="center" wrapText="1"/>
    </xf>
    <xf numFmtId="3" fontId="29" fillId="0" borderId="3" xfId="0" applyNumberFormat="1" applyFont="1" applyBorder="1" applyAlignment="1">
      <alignment horizontal="center"/>
    </xf>
    <xf numFmtId="3" fontId="9" fillId="0" borderId="18" xfId="0" applyNumberFormat="1" applyFont="1" applyBorder="1" applyAlignment="1">
      <alignment horizontal="center" wrapText="1"/>
    </xf>
    <xf numFmtId="3" fontId="9" fillId="0" borderId="19" xfId="0" applyNumberFormat="1" applyFont="1" applyBorder="1" applyAlignment="1">
      <alignment horizontal="center" wrapText="1"/>
    </xf>
    <xf numFmtId="0" fontId="33" fillId="2" borderId="0" xfId="0" applyFont="1" applyFill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/>
    </xf>
    <xf numFmtId="0" fontId="31" fillId="2" borderId="10" xfId="0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wrapText="1"/>
    </xf>
    <xf numFmtId="0" fontId="31" fillId="3" borderId="0" xfId="0" applyFont="1" applyFill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top" wrapText="1"/>
    </xf>
    <xf numFmtId="0" fontId="31" fillId="3" borderId="2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3" fontId="3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wrapText="1"/>
    </xf>
    <xf numFmtId="3" fontId="12" fillId="0" borderId="3" xfId="0" applyNumberFormat="1" applyFont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top" wrapText="1"/>
    </xf>
    <xf numFmtId="0" fontId="31" fillId="3" borderId="0" xfId="0" applyFont="1" applyFill="1" applyAlignment="1">
      <alignment horizontal="center" wrapText="1"/>
    </xf>
    <xf numFmtId="3" fontId="0" fillId="2" borderId="0" xfId="0" applyNumberFormat="1" applyFill="1"/>
    <xf numFmtId="3" fontId="2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vertical="top" wrapText="1"/>
    </xf>
    <xf numFmtId="3" fontId="32" fillId="2" borderId="3" xfId="0" applyNumberFormat="1" applyFont="1" applyFill="1" applyBorder="1" applyAlignment="1">
      <alignment horizontal="center" wrapText="1"/>
    </xf>
    <xf numFmtId="3" fontId="31" fillId="2" borderId="2" xfId="0" applyNumberFormat="1" applyFont="1" applyFill="1" applyBorder="1" applyAlignment="1">
      <alignment horizontal="center" wrapText="1"/>
    </xf>
    <xf numFmtId="3" fontId="31" fillId="2" borderId="1" xfId="0" applyNumberFormat="1" applyFont="1" applyFill="1" applyBorder="1" applyAlignment="1">
      <alignment horizont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wrapText="1"/>
    </xf>
    <xf numFmtId="3" fontId="9" fillId="2" borderId="0" xfId="0" applyNumberFormat="1" applyFont="1" applyFill="1"/>
    <xf numFmtId="3" fontId="3" fillId="0" borderId="0" xfId="0" applyNumberFormat="1" applyFont="1" applyAlignment="1">
      <alignment horizontal="right" wrapText="1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5" Type="http://schemas.openxmlformats.org/officeDocument/2006/relationships/worksheet" Target="worksheets/sheet3.xml" /><Relationship Id="rId8" Type="http://schemas.openxmlformats.org/officeDocument/2006/relationships/calcChain" Target="calcChain.xml" /><Relationship Id="rId3" Type="http://schemas.openxmlformats.org/officeDocument/2006/relationships/worksheet" Target="worksheets/sheet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workbookViewId="0" topLeftCell="A64">
      <selection pane="topLeft" activeCell="H2" sqref="H2"/>
    </sheetView>
  </sheetViews>
  <sheetFormatPr defaultColWidth="9.14428571428571" defaultRowHeight="15.75"/>
  <cols>
    <col min="1" max="1" width="65.7142857142857" style="24" customWidth="1"/>
    <col min="2" max="3" width="13.8571428571429" style="24" customWidth="1"/>
    <col min="4" max="4" width="13.5714285714286" style="24" customWidth="1"/>
    <col min="5" max="5" width="19.5714285714286" style="24" customWidth="1"/>
    <col min="6" max="6" width="11.2857142857143" style="24" bestFit="1" customWidth="1"/>
    <col min="7" max="16384" width="9.14285714285714" style="24"/>
  </cols>
  <sheetData>
    <row r="1" spans="5:5" ht="15.75">
      <c r="E1" s="20" t="s">
        <v>618</v>
      </c>
    </row>
    <row r="2" spans="5:5" ht="15.75">
      <c r="E2" s="18" t="s">
        <v>835</v>
      </c>
    </row>
    <row r="3" spans="5:5" ht="15.75">
      <c r="E3" s="18" t="s">
        <v>897</v>
      </c>
    </row>
    <row r="4" spans="5:5" ht="15.75">
      <c r="E4" s="18" t="s">
        <v>841</v>
      </c>
    </row>
    <row r="6" spans="1:9" ht="15.75">
      <c r="A6" s="19"/>
      <c r="C6" s="19"/>
      <c r="E6" s="20" t="s">
        <v>618</v>
      </c>
      <c r="F6" s="25"/>
      <c r="G6" s="25"/>
      <c r="H6" s="25"/>
      <c r="I6" s="25"/>
    </row>
    <row r="7" spans="1:9" ht="15.75">
      <c r="A7" s="19"/>
      <c r="C7" s="19"/>
      <c r="E7" s="18" t="s">
        <v>835</v>
      </c>
      <c r="F7" s="25"/>
      <c r="G7" s="25"/>
      <c r="H7" s="25"/>
      <c r="I7" s="25"/>
    </row>
    <row r="8" spans="1:12" ht="15.75">
      <c r="A8" s="19"/>
      <c r="C8" s="19"/>
      <c r="E8" s="18" t="s">
        <v>836</v>
      </c>
      <c r="F8" s="25"/>
      <c r="G8" s="25"/>
      <c r="H8" s="25"/>
      <c r="I8" s="25"/>
      <c r="J8" s="19"/>
      <c r="K8" s="19"/>
      <c r="L8" s="19"/>
    </row>
    <row r="9" spans="1:9" ht="15.75">
      <c r="A9" s="19"/>
      <c r="B9" s="18"/>
      <c r="C9" s="19"/>
      <c r="D9" s="18"/>
      <c r="E9" s="18" t="s">
        <v>767</v>
      </c>
      <c r="F9" s="25"/>
      <c r="G9" s="25"/>
      <c r="H9" s="25"/>
      <c r="I9" s="25"/>
    </row>
    <row r="10" s="25" customFormat="1" ht="15" customHeight="1"/>
    <row r="11" spans="1:3" s="25" customFormat="1" ht="15" customHeight="1">
      <c r="A11" s="14" t="s">
        <v>744</v>
      </c>
      <c r="B11" s="14"/>
      <c r="C11" s="14"/>
    </row>
    <row r="12" spans="3:3" s="25" customFormat="1" ht="15" customHeight="1">
      <c r="C12" s="26"/>
    </row>
    <row r="13" spans="1:5" s="25" customFormat="1" ht="52.5" customHeight="1">
      <c r="A13" s="27" t="s">
        <v>619</v>
      </c>
      <c r="B13" s="27" t="s">
        <v>620</v>
      </c>
      <c r="C13" s="28" t="s">
        <v>745</v>
      </c>
      <c r="D13" s="175" t="s">
        <v>839</v>
      </c>
      <c r="E13" s="175" t="s">
        <v>840</v>
      </c>
    </row>
    <row r="14" spans="1:6" s="25" customFormat="1" ht="30" customHeight="1">
      <c r="A14" s="29" t="s">
        <v>621</v>
      </c>
      <c r="B14" s="30"/>
      <c r="C14" s="31">
        <f>C15+C17+C19+C24+C27+C29+C31+C34+C36+C38+C40+C21</f>
        <v>32946687</v>
      </c>
      <c r="D14" s="193">
        <f>D36+D40+D34+D38+D15</f>
        <v>249690</v>
      </c>
      <c r="E14" s="190">
        <f>C14+D14</f>
        <v>33196377</v>
      </c>
      <c r="F14" s="196"/>
    </row>
    <row r="15" spans="1:5" s="32" customFormat="1" ht="15" customHeight="1">
      <c r="A15" s="30" t="s">
        <v>354</v>
      </c>
      <c r="B15" s="30" t="s">
        <v>353</v>
      </c>
      <c r="C15" s="31">
        <f>C16</f>
        <v>11192140</v>
      </c>
      <c r="D15" s="248">
        <f>D16</f>
        <v>106000</v>
      </c>
      <c r="E15" s="190">
        <f t="shared" si="0" ref="E15:E42">C15+D15</f>
        <v>11298140</v>
      </c>
    </row>
    <row r="16" spans="1:5" s="25" customFormat="1" ht="15" customHeight="1">
      <c r="A16" s="33" t="s">
        <v>622</v>
      </c>
      <c r="B16" s="34" t="s">
        <v>623</v>
      </c>
      <c r="C16" s="35">
        <f>'2.pielikums'!I20</f>
        <v>11192140</v>
      </c>
      <c r="D16" s="179">
        <v>106000</v>
      </c>
      <c r="E16" s="173">
        <f t="shared" si="0"/>
        <v>11298140</v>
      </c>
    </row>
    <row r="17" spans="1:5" s="25" customFormat="1" ht="15" customHeight="1">
      <c r="A17" s="36" t="s">
        <v>359</v>
      </c>
      <c r="B17" s="36" t="s">
        <v>358</v>
      </c>
      <c r="C17" s="37">
        <f>C18</f>
        <v>1129985</v>
      </c>
      <c r="D17" s="47"/>
      <c r="E17" s="190">
        <f t="shared" si="0"/>
        <v>1129985</v>
      </c>
    </row>
    <row r="18" spans="1:5" s="25" customFormat="1" ht="15" customHeight="1">
      <c r="A18" s="38" t="s">
        <v>624</v>
      </c>
      <c r="B18" s="39" t="s">
        <v>625</v>
      </c>
      <c r="C18" s="40">
        <f>'2.pielikums'!I23</f>
        <v>1129985</v>
      </c>
      <c r="D18" s="47"/>
      <c r="E18" s="173">
        <f t="shared" si="0"/>
        <v>1129985</v>
      </c>
    </row>
    <row r="19" spans="1:5" s="25" customFormat="1" ht="15" customHeight="1">
      <c r="A19" s="36" t="s">
        <v>626</v>
      </c>
      <c r="B19" s="36" t="s">
        <v>381</v>
      </c>
      <c r="C19" s="37">
        <f>C20</f>
        <v>45000</v>
      </c>
      <c r="D19" s="47"/>
      <c r="E19" s="190">
        <f t="shared" si="0"/>
        <v>45000</v>
      </c>
    </row>
    <row r="20" spans="1:5" s="25" customFormat="1" ht="15" customHeight="1">
      <c r="A20" s="38" t="s">
        <v>627</v>
      </c>
      <c r="B20" s="39" t="s">
        <v>628</v>
      </c>
      <c r="C20" s="40">
        <f>'2.pielikums'!I34</f>
        <v>45000</v>
      </c>
      <c r="D20" s="47"/>
      <c r="E20" s="173">
        <f t="shared" si="0"/>
        <v>45000</v>
      </c>
    </row>
    <row r="21" spans="1:5" s="25" customFormat="1" ht="15" customHeight="1">
      <c r="A21" s="36" t="s">
        <v>629</v>
      </c>
      <c r="B21" s="36" t="s">
        <v>392</v>
      </c>
      <c r="C21" s="37">
        <v>54687</v>
      </c>
      <c r="D21" s="193"/>
      <c r="E21" s="190">
        <f>E23+E22</f>
        <v>54687</v>
      </c>
    </row>
    <row r="22" spans="1:5" s="25" customFormat="1" ht="15" customHeight="1">
      <c r="A22" s="38" t="s">
        <v>843</v>
      </c>
      <c r="B22" s="39" t="s">
        <v>842</v>
      </c>
      <c r="C22" s="40">
        <v>49687</v>
      </c>
      <c r="D22" s="179"/>
      <c r="E22" s="173">
        <f t="shared" si="0"/>
        <v>49687</v>
      </c>
    </row>
    <row r="23" spans="1:5" s="25" customFormat="1" ht="30" customHeight="1">
      <c r="A23" s="38" t="s">
        <v>395</v>
      </c>
      <c r="B23" s="39" t="s">
        <v>394</v>
      </c>
      <c r="C23" s="40">
        <f>'2.pielikums'!I42</f>
        <v>5000</v>
      </c>
      <c r="D23" s="47"/>
      <c r="E23" s="173">
        <f t="shared" si="0"/>
        <v>5000</v>
      </c>
    </row>
    <row r="24" spans="1:5" s="25" customFormat="1" ht="15" customHeight="1">
      <c r="A24" s="36" t="s">
        <v>397</v>
      </c>
      <c r="B24" s="36" t="s">
        <v>396</v>
      </c>
      <c r="C24" s="37">
        <f>C25+C26</f>
        <v>18140</v>
      </c>
      <c r="D24" s="47"/>
      <c r="E24" s="190">
        <f t="shared" si="0"/>
        <v>18140</v>
      </c>
    </row>
    <row r="25" spans="1:5" s="25" customFormat="1" ht="15" customHeight="1">
      <c r="A25" s="38" t="s">
        <v>630</v>
      </c>
      <c r="B25" s="39" t="s">
        <v>631</v>
      </c>
      <c r="C25" s="40">
        <f>'2.pielikums'!I44</f>
        <v>11690</v>
      </c>
      <c r="D25" s="47"/>
      <c r="E25" s="173">
        <f t="shared" si="0"/>
        <v>11690</v>
      </c>
    </row>
    <row r="26" spans="1:5" s="25" customFormat="1" ht="15" customHeight="1">
      <c r="A26" s="38" t="s">
        <v>632</v>
      </c>
      <c r="B26" s="39" t="s">
        <v>633</v>
      </c>
      <c r="C26" s="40">
        <f>'2.pielikums'!I49</f>
        <v>6450</v>
      </c>
      <c r="D26" s="47"/>
      <c r="E26" s="173">
        <f t="shared" si="0"/>
        <v>6450</v>
      </c>
    </row>
    <row r="27" spans="1:5" s="25" customFormat="1" ht="15" customHeight="1">
      <c r="A27" s="36" t="s">
        <v>421</v>
      </c>
      <c r="B27" s="36" t="s">
        <v>420</v>
      </c>
      <c r="C27" s="37">
        <f>C28</f>
        <v>4000</v>
      </c>
      <c r="D27" s="47"/>
      <c r="E27" s="190">
        <f t="shared" si="0"/>
        <v>4000</v>
      </c>
    </row>
    <row r="28" spans="1:5" s="25" customFormat="1" ht="15" customHeight="1">
      <c r="A28" s="38" t="s">
        <v>634</v>
      </c>
      <c r="B28" s="39" t="s">
        <v>635</v>
      </c>
      <c r="C28" s="40">
        <f>'2.pielikums'!I55</f>
        <v>4000</v>
      </c>
      <c r="D28" s="47"/>
      <c r="E28" s="173">
        <f t="shared" si="0"/>
        <v>4000</v>
      </c>
    </row>
    <row r="29" spans="1:5" s="25" customFormat="1" ht="15" customHeight="1">
      <c r="A29" s="36" t="s">
        <v>431</v>
      </c>
      <c r="B29" s="36" t="s">
        <v>430</v>
      </c>
      <c r="C29" s="37">
        <f>C30</f>
        <v>63969</v>
      </c>
      <c r="D29" s="47"/>
      <c r="E29" s="190">
        <f t="shared" si="0"/>
        <v>63969</v>
      </c>
    </row>
    <row r="30" spans="1:5" s="25" customFormat="1" ht="15" customHeight="1">
      <c r="A30" s="41" t="s">
        <v>636</v>
      </c>
      <c r="B30" s="39" t="s">
        <v>637</v>
      </c>
      <c r="C30" s="40">
        <f>'2.pielikums'!I60</f>
        <v>63969</v>
      </c>
      <c r="D30" s="47"/>
      <c r="E30" s="173">
        <f t="shared" si="0"/>
        <v>63969</v>
      </c>
    </row>
    <row r="31" spans="1:5" s="25" customFormat="1" ht="30" customHeight="1">
      <c r="A31" s="36" t="s">
        <v>638</v>
      </c>
      <c r="B31" s="36" t="s">
        <v>438</v>
      </c>
      <c r="C31" s="37">
        <f>C32+C33</f>
        <v>520000</v>
      </c>
      <c r="D31" s="47"/>
      <c r="E31" s="190">
        <f t="shared" si="0"/>
        <v>520000</v>
      </c>
    </row>
    <row r="32" spans="1:5" s="25" customFormat="1" ht="15" customHeight="1">
      <c r="A32" s="38" t="s">
        <v>639</v>
      </c>
      <c r="B32" s="42" t="s">
        <v>640</v>
      </c>
      <c r="C32" s="40">
        <f>'2.pielikums'!I69</f>
        <v>20000</v>
      </c>
      <c r="D32" s="47"/>
      <c r="E32" s="173">
        <f t="shared" si="0"/>
        <v>20000</v>
      </c>
    </row>
    <row r="33" spans="1:5" s="25" customFormat="1" ht="15" customHeight="1">
      <c r="A33" s="38" t="s">
        <v>641</v>
      </c>
      <c r="B33" s="42" t="s">
        <v>642</v>
      </c>
      <c r="C33" s="40">
        <f>'2.pielikums'!I70</f>
        <v>500000</v>
      </c>
      <c r="D33" s="47"/>
      <c r="E33" s="173">
        <f t="shared" si="0"/>
        <v>500000</v>
      </c>
    </row>
    <row r="34" spans="1:5" s="25" customFormat="1" ht="30" customHeight="1">
      <c r="A34" s="36" t="s">
        <v>643</v>
      </c>
      <c r="B34" s="36" t="s">
        <v>448</v>
      </c>
      <c r="C34" s="37">
        <f>C35</f>
        <v>142534</v>
      </c>
      <c r="D34" s="198">
        <f>D35</f>
        <v>7057</v>
      </c>
      <c r="E34" s="190">
        <f>C34+D34</f>
        <v>149591</v>
      </c>
    </row>
    <row r="35" spans="1:5" s="25" customFormat="1" ht="15" customHeight="1">
      <c r="A35" s="38" t="s">
        <v>644</v>
      </c>
      <c r="B35" s="39" t="s">
        <v>645</v>
      </c>
      <c r="C35" s="40">
        <f>'2.pielikums'!I73</f>
        <v>142534</v>
      </c>
      <c r="D35" s="194">
        <v>7057</v>
      </c>
      <c r="E35" s="173">
        <f t="shared" si="0"/>
        <v>149591</v>
      </c>
    </row>
    <row r="36" spans="1:5" s="25" customFormat="1" ht="15" customHeight="1">
      <c r="A36" s="36" t="s">
        <v>646</v>
      </c>
      <c r="B36" s="36" t="s">
        <v>453</v>
      </c>
      <c r="C36" s="37">
        <f>C37</f>
        <v>14452422</v>
      </c>
      <c r="D36" s="193">
        <f>D37</f>
        <v>18476</v>
      </c>
      <c r="E36" s="190">
        <f>C36+D36</f>
        <v>14470898</v>
      </c>
    </row>
    <row r="37" spans="1:5" s="25" customFormat="1" ht="15" customHeight="1">
      <c r="A37" s="38" t="s">
        <v>647</v>
      </c>
      <c r="B37" s="39" t="s">
        <v>648</v>
      </c>
      <c r="C37" s="40">
        <f>'2.pielikums'!I78</f>
        <v>14452422</v>
      </c>
      <c r="D37" s="48">
        <v>18476</v>
      </c>
      <c r="E37" s="173">
        <f>C37+D37</f>
        <v>14470898</v>
      </c>
    </row>
    <row r="38" spans="1:5" s="25" customFormat="1" ht="15" customHeight="1">
      <c r="A38" s="36" t="s">
        <v>702</v>
      </c>
      <c r="B38" s="36" t="s">
        <v>703</v>
      </c>
      <c r="C38" s="37">
        <f>C39</f>
        <v>115000</v>
      </c>
      <c r="D38" s="198">
        <f>D39</f>
        <v>1000</v>
      </c>
      <c r="E38" s="190">
        <f t="shared" si="0"/>
        <v>116000</v>
      </c>
    </row>
    <row r="39" spans="1:5" s="25" customFormat="1" ht="15" customHeight="1">
      <c r="A39" s="38" t="s">
        <v>704</v>
      </c>
      <c r="B39" s="39" t="s">
        <v>705</v>
      </c>
      <c r="C39" s="40">
        <f>'2.pielikums'!I159</f>
        <v>115000</v>
      </c>
      <c r="D39" s="194">
        <v>1000</v>
      </c>
      <c r="E39" s="173">
        <f t="shared" si="0"/>
        <v>116000</v>
      </c>
    </row>
    <row r="40" spans="1:5" s="25" customFormat="1" ht="15" customHeight="1">
      <c r="A40" s="36" t="s">
        <v>649</v>
      </c>
      <c r="B40" s="36" t="s">
        <v>650</v>
      </c>
      <c r="C40" s="37">
        <f>SUM(C41:C43)</f>
        <v>5208810</v>
      </c>
      <c r="D40" s="193">
        <f>D41</f>
        <v>117157</v>
      </c>
      <c r="E40" s="190">
        <f>C40+D40</f>
        <v>5325967</v>
      </c>
    </row>
    <row r="41" spans="1:5" s="25" customFormat="1" ht="15" customHeight="1">
      <c r="A41" s="38" t="s">
        <v>830</v>
      </c>
      <c r="B41" s="39" t="s">
        <v>833</v>
      </c>
      <c r="C41" s="40">
        <f>'2.pielikums'!I163</f>
        <v>169672</v>
      </c>
      <c r="D41" s="179">
        <v>117157</v>
      </c>
      <c r="E41" s="173">
        <f t="shared" si="0"/>
        <v>286829</v>
      </c>
    </row>
    <row r="42" spans="1:5" s="25" customFormat="1" ht="30" customHeight="1">
      <c r="A42" s="38" t="s">
        <v>651</v>
      </c>
      <c r="B42" s="39" t="s">
        <v>652</v>
      </c>
      <c r="C42" s="40">
        <f>'2.pielikums'!I165</f>
        <v>4955138</v>
      </c>
      <c r="D42" s="47"/>
      <c r="E42" s="173">
        <f t="shared" si="0"/>
        <v>4955138</v>
      </c>
    </row>
    <row r="43" spans="1:5" s="25" customFormat="1" ht="30" customHeight="1">
      <c r="A43" s="38" t="s">
        <v>653</v>
      </c>
      <c r="B43" s="39" t="s">
        <v>654</v>
      </c>
      <c r="C43" s="40">
        <f>'2.pielikums'!I451</f>
        <v>84000</v>
      </c>
      <c r="D43" s="194"/>
      <c r="E43" s="173">
        <f>C43+D43</f>
        <v>84000</v>
      </c>
    </row>
    <row r="44" spans="1:6" s="25" customFormat="1" ht="30" customHeight="1">
      <c r="A44" s="43" t="s">
        <v>655</v>
      </c>
      <c r="B44" s="36" t="s">
        <v>656</v>
      </c>
      <c r="C44" s="44">
        <f>C45</f>
        <v>35567989</v>
      </c>
      <c r="D44" s="193">
        <f>D45</f>
        <v>294269.21000000043</v>
      </c>
      <c r="E44" s="190">
        <f>E45</f>
        <v>35862258.210000001</v>
      </c>
      <c r="F44" s="196"/>
    </row>
    <row r="45" spans="1:6" s="25" customFormat="1" ht="30" customHeight="1">
      <c r="A45" s="45" t="s">
        <v>657</v>
      </c>
      <c r="B45" s="46"/>
      <c r="C45" s="44">
        <f>SUM(C46:C54)</f>
        <v>35567989</v>
      </c>
      <c r="D45" s="44">
        <f>SUM(D46:D54)</f>
        <v>294269.21000000043</v>
      </c>
      <c r="E45" s="190">
        <f>SUM(E46:E54)</f>
        <v>35862258.210000001</v>
      </c>
      <c r="F45" s="196"/>
    </row>
    <row r="46" spans="1:6" s="25" customFormat="1" ht="15" customHeight="1">
      <c r="A46" s="36" t="s">
        <v>273</v>
      </c>
      <c r="B46" s="36" t="s">
        <v>272</v>
      </c>
      <c r="C46" s="44">
        <v>3843257</v>
      </c>
      <c r="D46" s="179">
        <f>E46-C46</f>
        <v>0</v>
      </c>
      <c r="E46" s="190">
        <f>'3.pielikums'!H18</f>
        <v>3843257</v>
      </c>
      <c r="F46" s="196"/>
    </row>
    <row r="47" spans="1:6" s="25" customFormat="1" ht="15" customHeight="1">
      <c r="A47" s="36" t="s">
        <v>276</v>
      </c>
      <c r="B47" s="36" t="s">
        <v>275</v>
      </c>
      <c r="C47" s="44">
        <v>322694</v>
      </c>
      <c r="D47" s="179">
        <f>E47-C47</f>
        <v>0</v>
      </c>
      <c r="E47" s="190">
        <f>'3.pielikums'!H50</f>
        <v>322694</v>
      </c>
      <c r="F47" s="196"/>
    </row>
    <row r="48" spans="1:6" s="25" customFormat="1" ht="15" customHeight="1">
      <c r="A48" s="36" t="s">
        <v>278</v>
      </c>
      <c r="B48" s="36" t="s">
        <v>277</v>
      </c>
      <c r="C48" s="44">
        <v>2219258</v>
      </c>
      <c r="D48" s="48">
        <f t="shared" si="1" ref="D48:D54">E48-C48</f>
        <v>0</v>
      </c>
      <c r="E48" s="190">
        <f>'3.pielikums'!H54</f>
        <v>2219258</v>
      </c>
      <c r="F48" s="196"/>
    </row>
    <row r="49" spans="1:6" s="25" customFormat="1" ht="15" customHeight="1">
      <c r="A49" s="36" t="s">
        <v>283</v>
      </c>
      <c r="B49" s="36" t="s">
        <v>282</v>
      </c>
      <c r="C49" s="44">
        <v>192262</v>
      </c>
      <c r="D49" s="48">
        <f t="shared" si="1"/>
        <v>62</v>
      </c>
      <c r="E49" s="190">
        <f>'3.pielikums'!H88</f>
        <v>192324</v>
      </c>
      <c r="F49" s="196"/>
    </row>
    <row r="50" spans="1:6" s="25" customFormat="1" ht="15" customHeight="1">
      <c r="A50" s="36" t="s">
        <v>658</v>
      </c>
      <c r="B50" s="36" t="s">
        <v>284</v>
      </c>
      <c r="C50" s="44">
        <v>5167517</v>
      </c>
      <c r="D50" s="179">
        <f t="shared" si="1"/>
        <v>9880</v>
      </c>
      <c r="E50" s="190">
        <f>'3.pielikums'!H111</f>
        <v>5177397</v>
      </c>
      <c r="F50" s="196"/>
    </row>
    <row r="51" spans="1:6" s="25" customFormat="1" ht="15" customHeight="1">
      <c r="A51" s="36" t="s">
        <v>291</v>
      </c>
      <c r="B51" s="36" t="s">
        <v>290</v>
      </c>
      <c r="C51" s="44">
        <v>150076</v>
      </c>
      <c r="D51" s="179">
        <f t="shared" si="1"/>
        <v>0</v>
      </c>
      <c r="E51" s="190">
        <f>'3.pielikums'!H181</f>
        <v>150076</v>
      </c>
      <c r="F51" s="196"/>
    </row>
    <row r="52" spans="1:6" s="25" customFormat="1" ht="15" customHeight="1">
      <c r="A52" s="36" t="s">
        <v>659</v>
      </c>
      <c r="B52" s="36" t="s">
        <v>301</v>
      </c>
      <c r="C52" s="44">
        <v>2747316</v>
      </c>
      <c r="D52" s="179">
        <f t="shared" si="1"/>
        <v>11757.229999999981</v>
      </c>
      <c r="E52" s="190">
        <f>'3.pielikums'!H192</f>
        <v>2759073.23</v>
      </c>
      <c r="F52" s="196"/>
    </row>
    <row r="53" spans="1:6" s="25" customFormat="1" ht="15" customHeight="1">
      <c r="A53" s="36" t="s">
        <v>315</v>
      </c>
      <c r="B53" s="36" t="s">
        <v>314</v>
      </c>
      <c r="C53" s="44">
        <v>14822539</v>
      </c>
      <c r="D53" s="48">
        <f>E53-C53</f>
        <v>166569.98000000045</v>
      </c>
      <c r="E53" s="195">
        <f>'3.pielikums'!H247</f>
        <v>14989108.98</v>
      </c>
      <c r="F53" s="196"/>
    </row>
    <row r="54" spans="1:6" s="25" customFormat="1" ht="15" customHeight="1">
      <c r="A54" s="36" t="s">
        <v>329</v>
      </c>
      <c r="B54" s="36" t="s">
        <v>328</v>
      </c>
      <c r="C54" s="44">
        <v>6103070</v>
      </c>
      <c r="D54" s="48">
        <f t="shared" si="1"/>
        <v>106000</v>
      </c>
      <c r="E54" s="190">
        <f>'3.pielikums'!H319</f>
        <v>6209070</v>
      </c>
      <c r="F54" s="196"/>
    </row>
    <row r="55" spans="1:6" s="25" customFormat="1" ht="30" customHeight="1">
      <c r="A55" s="45" t="s">
        <v>660</v>
      </c>
      <c r="B55" s="46"/>
      <c r="C55" s="37">
        <v>35567989</v>
      </c>
      <c r="D55" s="37">
        <f>D56+D57+D58+D59+D60+D61+D62</f>
        <v>294269.21000000043</v>
      </c>
      <c r="E55" s="190">
        <f>SUM(E56:E62)</f>
        <v>35862258.210000001</v>
      </c>
      <c r="F55" s="209"/>
    </row>
    <row r="56" spans="1:6" s="25" customFormat="1" ht="15" customHeight="1">
      <c r="A56" s="36" t="s">
        <v>661</v>
      </c>
      <c r="B56" s="36" t="s">
        <v>662</v>
      </c>
      <c r="C56" s="37">
        <v>21987596</v>
      </c>
      <c r="D56" s="179">
        <f>E56-C56</f>
        <v>11484.980000000447</v>
      </c>
      <c r="E56" s="190">
        <f>'4.pielikums'!C360</f>
        <v>21999080.98</v>
      </c>
      <c r="F56" s="209"/>
    </row>
    <row r="57" spans="1:6" s="25" customFormat="1" ht="15" customHeight="1">
      <c r="A57" s="36" t="s">
        <v>88</v>
      </c>
      <c r="B57" s="36" t="s">
        <v>663</v>
      </c>
      <c r="C57" s="37">
        <v>8771368</v>
      </c>
      <c r="D57" s="179">
        <f t="shared" si="2" ref="D57:D62">E57-C57</f>
        <v>178231</v>
      </c>
      <c r="E57" s="190">
        <f>'4.pielikums'!F360</f>
        <v>8949599</v>
      </c>
      <c r="F57" s="209"/>
    </row>
    <row r="58" spans="1:6" s="25" customFormat="1" ht="15" customHeight="1">
      <c r="A58" s="36" t="s">
        <v>89</v>
      </c>
      <c r="B58" s="36" t="s">
        <v>664</v>
      </c>
      <c r="C58" s="37">
        <v>102031</v>
      </c>
      <c r="D58" s="179">
        <f t="shared" si="2"/>
        <v>0</v>
      </c>
      <c r="E58" s="190">
        <f>'4.pielikums'!L360</f>
        <v>102031</v>
      </c>
      <c r="F58" s="209"/>
    </row>
    <row r="59" spans="1:6" s="25" customFormat="1" ht="15" customHeight="1">
      <c r="A59" s="36" t="s">
        <v>665</v>
      </c>
      <c r="B59" s="36" t="s">
        <v>666</v>
      </c>
      <c r="C59" s="37">
        <v>860282</v>
      </c>
      <c r="D59" s="179">
        <f t="shared" si="2"/>
        <v>-61</v>
      </c>
      <c r="E59" s="190">
        <f>'4.pielikums'!M360</f>
        <v>860221</v>
      </c>
      <c r="F59" s="209"/>
    </row>
    <row r="60" spans="1:6" s="25" customFormat="1" ht="15" customHeight="1">
      <c r="A60" s="36" t="s">
        <v>91</v>
      </c>
      <c r="B60" s="36" t="s">
        <v>667</v>
      </c>
      <c r="C60" s="37">
        <v>2079982</v>
      </c>
      <c r="D60" s="179">
        <f t="shared" si="2"/>
        <v>1304</v>
      </c>
      <c r="E60" s="190">
        <f>'4.pielikums'!N360</f>
        <v>2081286</v>
      </c>
      <c r="F60" s="209"/>
    </row>
    <row r="61" spans="1:6" s="25" customFormat="1" ht="15" customHeight="1">
      <c r="A61" s="36" t="s">
        <v>240</v>
      </c>
      <c r="B61" s="36" t="s">
        <v>668</v>
      </c>
      <c r="C61" s="37">
        <v>1605751</v>
      </c>
      <c r="D61" s="179">
        <f t="shared" si="2"/>
        <v>103310</v>
      </c>
      <c r="E61" s="190">
        <f>'4.pielikums'!O360</f>
        <v>1709061</v>
      </c>
      <c r="F61" s="209"/>
    </row>
    <row r="62" spans="1:6" s="25" customFormat="1" ht="30" customHeight="1">
      <c r="A62" s="36" t="s">
        <v>669</v>
      </c>
      <c r="B62" s="36" t="s">
        <v>670</v>
      </c>
      <c r="C62" s="37">
        <v>160979</v>
      </c>
      <c r="D62" s="179">
        <f t="shared" si="2"/>
        <v>0.23000000001047738</v>
      </c>
      <c r="E62" s="190">
        <f>'4.pielikums'!P360</f>
        <v>160979.23000000001</v>
      </c>
      <c r="F62" s="209"/>
    </row>
    <row r="63" spans="1:5" s="25" customFormat="1" ht="30" customHeight="1">
      <c r="A63" s="47"/>
      <c r="B63" s="47"/>
      <c r="C63" s="48"/>
      <c r="D63" s="194"/>
      <c r="E63" s="190">
        <f t="shared" si="3" ref="E63:E72">C63</f>
        <v>0</v>
      </c>
    </row>
    <row r="64" spans="1:5" s="25" customFormat="1" ht="15" customHeight="1">
      <c r="A64" s="43" t="s">
        <v>671</v>
      </c>
      <c r="B64" s="36" t="s">
        <v>656</v>
      </c>
      <c r="C64" s="37">
        <f>C14-C44</f>
        <v>-2621302</v>
      </c>
      <c r="D64" s="179">
        <f>D14-D44</f>
        <v>-44579.210000000428</v>
      </c>
      <c r="E64" s="190">
        <f>C64+D64</f>
        <v>-2665881.2100000004</v>
      </c>
    </row>
    <row r="65" spans="1:5" s="25" customFormat="1" ht="30" customHeight="1">
      <c r="A65" s="43" t="s">
        <v>672</v>
      </c>
      <c r="B65" s="36" t="s">
        <v>656</v>
      </c>
      <c r="C65" s="44">
        <f>C66+C71</f>
        <v>2621302</v>
      </c>
      <c r="D65" s="44">
        <f>D66+D71</f>
        <v>44579</v>
      </c>
      <c r="E65" s="190">
        <f>C65+D65</f>
        <v>2665881</v>
      </c>
    </row>
    <row r="66" spans="1:5" s="49" customFormat="1" ht="15" customHeight="1">
      <c r="A66" s="36" t="s">
        <v>673</v>
      </c>
      <c r="B66" s="36" t="s">
        <v>674</v>
      </c>
      <c r="C66" s="44">
        <f>C67+C68</f>
        <v>652815</v>
      </c>
      <c r="D66" s="211">
        <f>D67+D68</f>
        <v>44579</v>
      </c>
      <c r="E66" s="190">
        <f>C66+D66</f>
        <v>697394</v>
      </c>
    </row>
    <row r="67" spans="1:5" s="50" customFormat="1" ht="15" customHeight="1">
      <c r="A67" s="36" t="s">
        <v>675</v>
      </c>
      <c r="B67" s="36" t="s">
        <v>676</v>
      </c>
      <c r="C67" s="44">
        <v>8824</v>
      </c>
      <c r="D67" s="83"/>
      <c r="E67" s="190">
        <f>C67+D67</f>
        <v>8824</v>
      </c>
    </row>
    <row r="68" spans="1:5" s="51" customFormat="1" ht="15" customHeight="1">
      <c r="A68" s="36" t="s">
        <v>677</v>
      </c>
      <c r="B68" s="36" t="s">
        <v>678</v>
      </c>
      <c r="C68" s="44">
        <f>C69-C70</f>
        <v>643991</v>
      </c>
      <c r="D68" s="127">
        <f>D69-D70</f>
        <v>44579</v>
      </c>
      <c r="E68" s="190">
        <f>C68+D68</f>
        <v>688570</v>
      </c>
    </row>
    <row r="69" spans="1:5" s="25" customFormat="1" ht="15" customHeight="1">
      <c r="A69" s="36" t="s">
        <v>679</v>
      </c>
      <c r="B69" s="36" t="s">
        <v>680</v>
      </c>
      <c r="C69" s="44">
        <v>1398918</v>
      </c>
      <c r="D69" s="84"/>
      <c r="E69" s="190">
        <f t="shared" si="3"/>
        <v>1398918</v>
      </c>
    </row>
    <row r="70" spans="1:5" s="25" customFormat="1" ht="30" customHeight="1">
      <c r="A70" s="36" t="s">
        <v>681</v>
      </c>
      <c r="B70" s="36" t="s">
        <v>874</v>
      </c>
      <c r="C70" s="44">
        <v>754927</v>
      </c>
      <c r="D70" s="212">
        <v>-44579</v>
      </c>
      <c r="E70" s="190">
        <f>C70+D70</f>
        <v>710348</v>
      </c>
    </row>
    <row r="71" spans="1:5" s="25" customFormat="1" ht="15" customHeight="1">
      <c r="A71" s="36" t="s">
        <v>271</v>
      </c>
      <c r="B71" s="36" t="s">
        <v>682</v>
      </c>
      <c r="C71" s="44">
        <f>C72-C73</f>
        <v>1968487</v>
      </c>
      <c r="D71" s="44">
        <f>D72-D73</f>
        <v>0</v>
      </c>
      <c r="E71" s="190">
        <f>C71+D71</f>
        <v>1968487</v>
      </c>
    </row>
    <row r="72" spans="1:6" s="25" customFormat="1" ht="15" customHeight="1">
      <c r="A72" s="36" t="s">
        <v>683</v>
      </c>
      <c r="B72" s="36" t="s">
        <v>687</v>
      </c>
      <c r="C72" s="44">
        <v>3477399</v>
      </c>
      <c r="D72" s="47"/>
      <c r="E72" s="190">
        <f t="shared" si="3"/>
        <v>3477399</v>
      </c>
      <c r="F72" s="196"/>
    </row>
    <row r="73" spans="1:5" s="25" customFormat="1" ht="15" customHeight="1">
      <c r="A73" s="36" t="s">
        <v>684</v>
      </c>
      <c r="B73" s="36" t="s">
        <v>685</v>
      </c>
      <c r="C73" s="52">
        <v>1508912</v>
      </c>
      <c r="D73" s="194">
        <v>0</v>
      </c>
      <c r="E73" s="190">
        <f>C73+D73</f>
        <v>1508912</v>
      </c>
    </row>
    <row r="76" spans="1:1" ht="18.75">
      <c r="A76" s="77" t="s">
        <v>825</v>
      </c>
    </row>
  </sheetData>
  <mergeCells count="1">
    <mergeCell ref="A11:C11"/>
  </mergeCells>
  <pageMargins left="0.25" right="0.25" top="0.75" bottom="0.75" header="0.3" footer="0.3"/>
  <pageSetup orientation="portrait" paperSize="9" scale="7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4"/>
  <sheetViews>
    <sheetView workbookViewId="0" topLeftCell="A460">
      <selection pane="topLeft" activeCell="K4" sqref="K4"/>
    </sheetView>
  </sheetViews>
  <sheetFormatPr defaultColWidth="9.14428571428571" defaultRowHeight="15.75"/>
  <cols>
    <col min="1" max="1" width="14.2857142857143" style="141" customWidth="1"/>
    <col min="2" max="2" width="48.2857142857143" style="141" customWidth="1"/>
    <col min="3" max="5" width="15.7142857142857" style="141" customWidth="1"/>
    <col min="6" max="6" width="14.5714285714286" style="141" customWidth="1"/>
    <col min="7" max="8" width="15.8571428571429" style="141" customWidth="1"/>
    <col min="9" max="9" width="15.7142857142857" style="141" customWidth="1"/>
    <col min="10" max="10" width="11.8571428571429" style="76" customWidth="1"/>
    <col min="11" max="11" width="14.8571428571429" style="57" customWidth="1"/>
    <col min="12" max="12" width="9.85714285714286" style="74" bestFit="1" customWidth="1"/>
    <col min="13" max="16384" width="9.14285714285714" style="74"/>
  </cols>
  <sheetData>
    <row r="1" spans="10:11" ht="15" customHeight="1">
      <c r="J1" s="191"/>
      <c r="K1" s="191"/>
    </row>
    <row r="2" spans="1:11" ht="15" customHeight="1">
      <c r="A2" s="142"/>
      <c r="B2" s="150"/>
      <c r="C2" s="148"/>
      <c r="D2" s="148"/>
      <c r="E2" s="148"/>
      <c r="F2" s="148"/>
      <c r="G2" s="148"/>
      <c r="H2" s="148"/>
      <c r="I2" s="154"/>
      <c r="J2" s="191"/>
      <c r="K2" s="154" t="s">
        <v>343</v>
      </c>
    </row>
    <row r="3" spans="1:11" ht="15" customHeight="1">
      <c r="A3" s="142"/>
      <c r="B3" s="150"/>
      <c r="C3" s="148"/>
      <c r="D3" s="148"/>
      <c r="E3" s="148"/>
      <c r="F3" s="148"/>
      <c r="G3" s="148"/>
      <c r="H3" s="148"/>
      <c r="I3" s="149"/>
      <c r="J3" s="191"/>
      <c r="K3" s="149" t="s">
        <v>835</v>
      </c>
    </row>
    <row r="4" spans="1:11" ht="15" customHeight="1">
      <c r="A4" s="142"/>
      <c r="E4" s="149"/>
      <c r="F4" s="149"/>
      <c r="G4" s="149"/>
      <c r="H4" s="149"/>
      <c r="I4" s="149"/>
      <c r="J4" s="191"/>
      <c r="K4" s="149" t="s">
        <v>898</v>
      </c>
    </row>
    <row r="5" spans="1:11" ht="15" customHeight="1">
      <c r="A5" s="142"/>
      <c r="E5" s="149"/>
      <c r="F5" s="149"/>
      <c r="G5" s="149"/>
      <c r="H5" s="149"/>
      <c r="I5" s="149"/>
      <c r="J5" s="191"/>
      <c r="K5" s="149" t="s">
        <v>841</v>
      </c>
    </row>
    <row r="6" spans="1:11" ht="15" customHeight="1">
      <c r="A6" s="142"/>
      <c r="B6" s="165"/>
      <c r="E6" s="149"/>
      <c r="F6" s="149"/>
      <c r="G6" s="149"/>
      <c r="H6" s="149"/>
      <c r="I6" s="149"/>
      <c r="J6" s="191"/>
      <c r="K6" s="149" t="s">
        <v>767</v>
      </c>
    </row>
    <row r="7" spans="1:11" ht="15" customHeight="1">
      <c r="A7" s="142"/>
      <c r="B7" s="165"/>
      <c r="E7" s="149"/>
      <c r="F7" s="149"/>
      <c r="G7" s="149"/>
      <c r="H7" s="149"/>
      <c r="I7" s="149"/>
      <c r="J7" s="191"/>
      <c r="K7" s="191"/>
    </row>
    <row r="8" spans="1:11" ht="15" customHeight="1">
      <c r="A8" s="142"/>
      <c r="B8" s="165"/>
      <c r="E8" s="149"/>
      <c r="F8" s="149"/>
      <c r="G8" s="149"/>
      <c r="H8" s="149"/>
      <c r="I8" s="154"/>
      <c r="J8" s="191"/>
      <c r="K8" s="154" t="s">
        <v>343</v>
      </c>
    </row>
    <row r="9" spans="1:11" ht="15" customHeight="1">
      <c r="A9" s="142"/>
      <c r="B9" s="165"/>
      <c r="E9" s="149"/>
      <c r="F9" s="149"/>
      <c r="G9" s="149"/>
      <c r="H9" s="149"/>
      <c r="I9" s="149"/>
      <c r="J9" s="191"/>
      <c r="K9" s="149" t="s">
        <v>835</v>
      </c>
    </row>
    <row r="10" spans="1:11" ht="15" customHeight="1">
      <c r="A10" s="142"/>
      <c r="B10" s="165"/>
      <c r="E10" s="149"/>
      <c r="F10" s="149"/>
      <c r="G10" s="149"/>
      <c r="H10" s="149"/>
      <c r="I10" s="149"/>
      <c r="J10" s="191"/>
      <c r="K10" s="149" t="s">
        <v>836</v>
      </c>
    </row>
    <row r="11" spans="1:11" ht="15" customHeight="1">
      <c r="A11" s="142"/>
      <c r="B11" s="165"/>
      <c r="E11" s="149"/>
      <c r="F11" s="149"/>
      <c r="G11" s="149"/>
      <c r="H11" s="149"/>
      <c r="I11" s="149"/>
      <c r="J11" s="191"/>
      <c r="K11" s="149" t="s">
        <v>767</v>
      </c>
    </row>
    <row r="12" spans="1:11" ht="15" customHeight="1">
      <c r="A12" s="142"/>
      <c r="B12" s="166"/>
      <c r="C12" s="150"/>
      <c r="D12" s="150"/>
      <c r="E12" s="150"/>
      <c r="F12" s="150"/>
      <c r="G12" s="150"/>
      <c r="H12" s="150"/>
      <c r="I12" s="150"/>
      <c r="J12" s="191"/>
      <c r="K12" s="191"/>
    </row>
    <row r="13" spans="1:11" ht="15" customHeight="1">
      <c r="A13" s="12" t="s">
        <v>771</v>
      </c>
      <c r="B13" s="12"/>
      <c r="C13" s="12"/>
      <c r="D13" s="12"/>
      <c r="E13" s="12"/>
      <c r="F13" s="12"/>
      <c r="G13" s="12"/>
      <c r="H13" s="12"/>
      <c r="I13" s="12"/>
      <c r="J13" s="191"/>
      <c r="K13" s="191"/>
    </row>
    <row r="14" spans="1:11" ht="15" customHeight="1">
      <c r="A14" s="142"/>
      <c r="B14" s="142"/>
      <c r="C14" s="150"/>
      <c r="D14" s="150"/>
      <c r="E14" s="150"/>
      <c r="F14" s="150"/>
      <c r="G14" s="150"/>
      <c r="H14" s="150"/>
      <c r="I14" s="150"/>
      <c r="J14" s="192"/>
      <c r="K14" s="192"/>
    </row>
    <row r="15" spans="1:11" ht="15" customHeight="1">
      <c r="A15" s="11" t="s">
        <v>264</v>
      </c>
      <c r="B15" s="10" t="s">
        <v>344</v>
      </c>
      <c r="C15" s="8" t="s">
        <v>345</v>
      </c>
      <c r="D15" s="7"/>
      <c r="E15" s="7"/>
      <c r="F15" s="7"/>
      <c r="G15" s="7"/>
      <c r="H15" s="6"/>
      <c r="I15" s="9" t="s">
        <v>346</v>
      </c>
      <c r="J15" s="13" t="s">
        <v>896</v>
      </c>
      <c r="K15" s="13" t="s">
        <v>844</v>
      </c>
    </row>
    <row r="16" spans="1:11" ht="64.5" customHeight="1">
      <c r="A16" s="11"/>
      <c r="B16" s="10"/>
      <c r="C16" s="151" t="s">
        <v>347</v>
      </c>
      <c r="D16" s="180" t="s">
        <v>895</v>
      </c>
      <c r="E16" s="151" t="s">
        <v>348</v>
      </c>
      <c r="F16" s="180" t="s">
        <v>895</v>
      </c>
      <c r="G16" s="151" t="s">
        <v>349</v>
      </c>
      <c r="H16" s="180" t="s">
        <v>895</v>
      </c>
      <c r="I16" s="9"/>
      <c r="J16" s="13"/>
      <c r="K16" s="13"/>
    </row>
    <row r="17" spans="1:13" ht="15" customHeight="1">
      <c r="A17" s="143" t="s">
        <v>350</v>
      </c>
      <c r="B17" s="96" t="s">
        <v>351</v>
      </c>
      <c r="C17" s="98">
        <f>C19+C22+C34+C43+C55+C68+C60+C40</f>
        <v>13027921</v>
      </c>
      <c r="D17" s="98">
        <f>D19+D22+D34+D43+D55+D68+D60+D40</f>
        <v>106000</v>
      </c>
      <c r="E17" s="98">
        <f>E159+E165+E451+E163</f>
        <v>5323810</v>
      </c>
      <c r="F17" s="98">
        <f>F159+F162</f>
        <v>118157</v>
      </c>
      <c r="G17" s="98">
        <f>G78+G73</f>
        <v>14594956</v>
      </c>
      <c r="H17" s="98">
        <f>H78+H73+H162+H159+H19</f>
        <v>25533</v>
      </c>
      <c r="I17" s="181">
        <f>I19+I22+I34+I40+I43+I55+I60+I68+I73+I78+I159+I162</f>
        <v>32946687</v>
      </c>
      <c r="J17" s="98">
        <f>J19+J22+J34+J40+J43+J55+J60+J68+J73+J78+J159+J162</f>
        <v>249690</v>
      </c>
      <c r="K17" s="195">
        <f>I17+J17</f>
        <v>33196377</v>
      </c>
      <c r="L17" s="100"/>
      <c r="M17" s="100"/>
    </row>
    <row r="18" spans="1:12" ht="15" customHeight="1">
      <c r="A18" s="96">
        <v>1</v>
      </c>
      <c r="B18" s="96" t="s">
        <v>352</v>
      </c>
      <c r="C18" s="98">
        <f>C19+C22+C34</f>
        <v>12367125</v>
      </c>
      <c r="D18" s="98">
        <f>D19+D22+D34</f>
        <v>106000</v>
      </c>
      <c r="E18" s="99"/>
      <c r="F18" s="99"/>
      <c r="G18" s="99"/>
      <c r="H18" s="99"/>
      <c r="I18" s="181">
        <f t="shared" si="0" ref="I18:I34">C18</f>
        <v>12367125</v>
      </c>
      <c r="J18" s="95"/>
      <c r="K18" s="195">
        <f t="shared" si="1" ref="K18:K74">I18+J18</f>
        <v>12367125</v>
      </c>
      <c r="L18" s="100"/>
    </row>
    <row r="19" spans="1:12" ht="15" customHeight="1">
      <c r="A19" s="96" t="s">
        <v>353</v>
      </c>
      <c r="B19" s="96" t="s">
        <v>354</v>
      </c>
      <c r="C19" s="98">
        <f>C20</f>
        <v>11192140</v>
      </c>
      <c r="D19" s="98">
        <f>D21</f>
        <v>106000</v>
      </c>
      <c r="E19" s="99"/>
      <c r="F19" s="99"/>
      <c r="G19" s="99"/>
      <c r="H19" s="98">
        <f>H21</f>
        <v>0</v>
      </c>
      <c r="I19" s="181">
        <f t="shared" si="0"/>
        <v>11192140</v>
      </c>
      <c r="J19" s="98">
        <f>J21</f>
        <v>106000</v>
      </c>
      <c r="K19" s="195">
        <f t="shared" si="1"/>
        <v>11298140</v>
      </c>
      <c r="L19" s="100"/>
    </row>
    <row r="20" spans="1:11" ht="15" customHeight="1">
      <c r="A20" s="96" t="s">
        <v>355</v>
      </c>
      <c r="B20" s="96" t="s">
        <v>356</v>
      </c>
      <c r="C20" s="98">
        <f>C21</f>
        <v>11192140</v>
      </c>
      <c r="D20" s="98">
        <f>D21</f>
        <v>106000</v>
      </c>
      <c r="E20" s="99"/>
      <c r="F20" s="99"/>
      <c r="G20" s="99"/>
      <c r="H20" s="99"/>
      <c r="I20" s="181">
        <f t="shared" si="0"/>
        <v>11192140</v>
      </c>
      <c r="J20" s="95"/>
      <c r="K20" s="195">
        <f t="shared" si="1"/>
        <v>11192140</v>
      </c>
    </row>
    <row r="21" spans="1:11" ht="15" customHeight="1">
      <c r="A21" s="144" t="s">
        <v>357</v>
      </c>
      <c r="B21" s="95" t="s">
        <v>356</v>
      </c>
      <c r="C21" s="99">
        <v>11192140</v>
      </c>
      <c r="D21" s="99">
        <v>106000</v>
      </c>
      <c r="E21" s="99"/>
      <c r="F21" s="99"/>
      <c r="G21" s="99"/>
      <c r="H21" s="99"/>
      <c r="I21" s="182">
        <f t="shared" si="0"/>
        <v>11192140</v>
      </c>
      <c r="J21" s="99">
        <v>106000</v>
      </c>
      <c r="K21" s="53">
        <f t="shared" si="1"/>
        <v>11298140</v>
      </c>
    </row>
    <row r="22" spans="1:11" ht="15" customHeight="1">
      <c r="A22" s="145" t="s">
        <v>358</v>
      </c>
      <c r="B22" s="96" t="s">
        <v>359</v>
      </c>
      <c r="C22" s="98">
        <f>C23</f>
        <v>1129985</v>
      </c>
      <c r="D22" s="98"/>
      <c r="E22" s="99"/>
      <c r="F22" s="99"/>
      <c r="G22" s="99"/>
      <c r="H22" s="99"/>
      <c r="I22" s="181">
        <f t="shared" si="0"/>
        <v>1129985</v>
      </c>
      <c r="J22" s="95"/>
      <c r="K22" s="195">
        <f t="shared" si="1"/>
        <v>1129985</v>
      </c>
    </row>
    <row r="23" spans="1:12" ht="15" customHeight="1">
      <c r="A23" s="96" t="s">
        <v>360</v>
      </c>
      <c r="B23" s="96" t="s">
        <v>361</v>
      </c>
      <c r="C23" s="98">
        <f>C24+C27+C31</f>
        <v>1129985</v>
      </c>
      <c r="D23" s="98"/>
      <c r="E23" s="99"/>
      <c r="F23" s="99"/>
      <c r="G23" s="99"/>
      <c r="H23" s="99"/>
      <c r="I23" s="181">
        <f t="shared" si="0"/>
        <v>1129985</v>
      </c>
      <c r="J23" s="184"/>
      <c r="K23" s="195">
        <f>I23+J23</f>
        <v>1129985</v>
      </c>
      <c r="L23" s="100"/>
    </row>
    <row r="24" spans="1:11" ht="15" customHeight="1">
      <c r="A24" s="96" t="s">
        <v>362</v>
      </c>
      <c r="B24" s="96" t="s">
        <v>363</v>
      </c>
      <c r="C24" s="98">
        <f>C25+C26</f>
        <v>981415</v>
      </c>
      <c r="D24" s="98"/>
      <c r="E24" s="99"/>
      <c r="F24" s="99"/>
      <c r="G24" s="99"/>
      <c r="H24" s="99"/>
      <c r="I24" s="181">
        <f t="shared" si="0"/>
        <v>981415</v>
      </c>
      <c r="J24" s="95"/>
      <c r="K24" s="195">
        <f t="shared" si="1"/>
        <v>981415</v>
      </c>
    </row>
    <row r="25" spans="1:11" ht="30" customHeight="1">
      <c r="A25" s="95" t="s">
        <v>364</v>
      </c>
      <c r="B25" s="94" t="s">
        <v>365</v>
      </c>
      <c r="C25" s="99">
        <v>882815</v>
      </c>
      <c r="D25" s="99"/>
      <c r="E25" s="99"/>
      <c r="F25" s="99"/>
      <c r="G25" s="99"/>
      <c r="H25" s="99"/>
      <c r="I25" s="182">
        <f t="shared" si="0"/>
        <v>882815</v>
      </c>
      <c r="J25" s="95"/>
      <c r="K25" s="53">
        <f t="shared" si="1"/>
        <v>882815</v>
      </c>
    </row>
    <row r="26" spans="1:11" ht="30" customHeight="1">
      <c r="A26" s="95" t="s">
        <v>366</v>
      </c>
      <c r="B26" s="94" t="s">
        <v>367</v>
      </c>
      <c r="C26" s="99">
        <v>98600</v>
      </c>
      <c r="D26" s="99"/>
      <c r="E26" s="99"/>
      <c r="F26" s="99"/>
      <c r="G26" s="99"/>
      <c r="H26" s="99"/>
      <c r="I26" s="182">
        <f t="shared" si="0"/>
        <v>98600</v>
      </c>
      <c r="J26" s="95"/>
      <c r="K26" s="53">
        <f t="shared" si="1"/>
        <v>98600</v>
      </c>
    </row>
    <row r="27" spans="1:11" ht="15" customHeight="1">
      <c r="A27" s="96" t="s">
        <v>368</v>
      </c>
      <c r="B27" s="96" t="s">
        <v>369</v>
      </c>
      <c r="C27" s="98">
        <f>C28+C30</f>
        <v>90570</v>
      </c>
      <c r="D27" s="98"/>
      <c r="E27" s="99"/>
      <c r="F27" s="99"/>
      <c r="G27" s="99"/>
      <c r="H27" s="99"/>
      <c r="I27" s="181">
        <f t="shared" si="0"/>
        <v>90570</v>
      </c>
      <c r="J27" s="95"/>
      <c r="K27" s="195">
        <f t="shared" si="1"/>
        <v>90570</v>
      </c>
    </row>
    <row r="28" spans="1:11" ht="30" customHeight="1">
      <c r="A28" s="95" t="s">
        <v>370</v>
      </c>
      <c r="B28" s="94" t="s">
        <v>371</v>
      </c>
      <c r="C28" s="99">
        <v>82570</v>
      </c>
      <c r="D28" s="99"/>
      <c r="E28" s="99"/>
      <c r="F28" s="99"/>
      <c r="G28" s="99"/>
      <c r="H28" s="99"/>
      <c r="I28" s="182">
        <f t="shared" si="0"/>
        <v>82570</v>
      </c>
      <c r="J28" s="95"/>
      <c r="K28" s="53">
        <f t="shared" si="1"/>
        <v>82570</v>
      </c>
    </row>
    <row r="29" spans="1:11" ht="15" customHeight="1">
      <c r="A29" s="95"/>
      <c r="B29" s="94" t="s">
        <v>372</v>
      </c>
      <c r="C29" s="99">
        <v>4718</v>
      </c>
      <c r="D29" s="99"/>
      <c r="E29" s="99"/>
      <c r="F29" s="99"/>
      <c r="G29" s="99"/>
      <c r="H29" s="99"/>
      <c r="I29" s="182">
        <f t="shared" si="0"/>
        <v>4718</v>
      </c>
      <c r="J29" s="95"/>
      <c r="K29" s="53">
        <f t="shared" si="1"/>
        <v>4718</v>
      </c>
    </row>
    <row r="30" spans="1:11" ht="30" customHeight="1">
      <c r="A30" s="95" t="s">
        <v>373</v>
      </c>
      <c r="B30" s="94" t="s">
        <v>374</v>
      </c>
      <c r="C30" s="99">
        <v>8000</v>
      </c>
      <c r="D30" s="99"/>
      <c r="E30" s="99"/>
      <c r="F30" s="99"/>
      <c r="G30" s="99"/>
      <c r="H30" s="99"/>
      <c r="I30" s="182">
        <f t="shared" si="0"/>
        <v>8000</v>
      </c>
      <c r="J30" s="95"/>
      <c r="K30" s="53">
        <f t="shared" si="1"/>
        <v>8000</v>
      </c>
    </row>
    <row r="31" spans="1:11" ht="15" customHeight="1">
      <c r="A31" s="96" t="s">
        <v>375</v>
      </c>
      <c r="B31" s="97" t="s">
        <v>376</v>
      </c>
      <c r="C31" s="98">
        <f>C32+C33</f>
        <v>58000</v>
      </c>
      <c r="D31" s="98"/>
      <c r="E31" s="99"/>
      <c r="F31" s="99"/>
      <c r="G31" s="99"/>
      <c r="H31" s="99"/>
      <c r="I31" s="181">
        <f t="shared" si="0"/>
        <v>58000</v>
      </c>
      <c r="J31" s="95"/>
      <c r="K31" s="195">
        <f t="shared" si="1"/>
        <v>58000</v>
      </c>
    </row>
    <row r="32" spans="1:11" ht="30" customHeight="1">
      <c r="A32" s="95" t="s">
        <v>377</v>
      </c>
      <c r="B32" s="94" t="s">
        <v>378</v>
      </c>
      <c r="C32" s="99">
        <v>48000</v>
      </c>
      <c r="D32" s="99"/>
      <c r="E32" s="99"/>
      <c r="F32" s="99"/>
      <c r="G32" s="99"/>
      <c r="H32" s="99"/>
      <c r="I32" s="182">
        <f t="shared" si="0"/>
        <v>48000</v>
      </c>
      <c r="J32" s="95"/>
      <c r="K32" s="53">
        <f t="shared" si="1"/>
        <v>48000</v>
      </c>
    </row>
    <row r="33" spans="1:11" ht="30" customHeight="1">
      <c r="A33" s="95" t="s">
        <v>379</v>
      </c>
      <c r="B33" s="94" t="s">
        <v>380</v>
      </c>
      <c r="C33" s="99">
        <v>10000</v>
      </c>
      <c r="D33" s="99"/>
      <c r="E33" s="99"/>
      <c r="F33" s="99"/>
      <c r="G33" s="99"/>
      <c r="H33" s="99"/>
      <c r="I33" s="182">
        <f t="shared" si="0"/>
        <v>10000</v>
      </c>
      <c r="J33" s="95"/>
      <c r="K33" s="53">
        <f t="shared" si="1"/>
        <v>10000</v>
      </c>
    </row>
    <row r="34" spans="1:11" ht="30" customHeight="1">
      <c r="A34" s="96" t="s">
        <v>381</v>
      </c>
      <c r="B34" s="97" t="s">
        <v>382</v>
      </c>
      <c r="C34" s="98">
        <f>C35+C37</f>
        <v>45000</v>
      </c>
      <c r="D34" s="98"/>
      <c r="E34" s="99"/>
      <c r="F34" s="99"/>
      <c r="G34" s="99"/>
      <c r="H34" s="99"/>
      <c r="I34" s="181">
        <f t="shared" si="0"/>
        <v>45000</v>
      </c>
      <c r="J34" s="95"/>
      <c r="K34" s="195">
        <f t="shared" si="1"/>
        <v>45000</v>
      </c>
    </row>
    <row r="35" spans="1:11" ht="30" customHeight="1">
      <c r="A35" s="96" t="s">
        <v>383</v>
      </c>
      <c r="B35" s="97" t="s">
        <v>384</v>
      </c>
      <c r="C35" s="98">
        <f>C36</f>
        <v>7000</v>
      </c>
      <c r="D35" s="98"/>
      <c r="E35" s="99"/>
      <c r="F35" s="99"/>
      <c r="G35" s="99"/>
      <c r="H35" s="99"/>
      <c r="I35" s="181">
        <f>I36</f>
        <v>7000</v>
      </c>
      <c r="J35" s="95"/>
      <c r="K35" s="195">
        <f t="shared" si="1"/>
        <v>7000</v>
      </c>
    </row>
    <row r="36" spans="1:11" ht="15" customHeight="1">
      <c r="A36" s="95" t="s">
        <v>385</v>
      </c>
      <c r="B36" s="95" t="s">
        <v>386</v>
      </c>
      <c r="C36" s="99">
        <v>7000</v>
      </c>
      <c r="D36" s="99"/>
      <c r="E36" s="99"/>
      <c r="F36" s="99"/>
      <c r="G36" s="99"/>
      <c r="H36" s="99"/>
      <c r="I36" s="182">
        <f>C36</f>
        <v>7000</v>
      </c>
      <c r="J36" s="95"/>
      <c r="K36" s="53">
        <f t="shared" si="1"/>
        <v>7000</v>
      </c>
    </row>
    <row r="37" spans="1:11" ht="30" customHeight="1">
      <c r="A37" s="96" t="s">
        <v>387</v>
      </c>
      <c r="B37" s="97" t="s">
        <v>388</v>
      </c>
      <c r="C37" s="98">
        <f>C38</f>
        <v>38000</v>
      </c>
      <c r="D37" s="98"/>
      <c r="E37" s="98"/>
      <c r="F37" s="98"/>
      <c r="G37" s="98"/>
      <c r="H37" s="98"/>
      <c r="I37" s="181">
        <f>I38</f>
        <v>38000</v>
      </c>
      <c r="J37" s="95"/>
      <c r="K37" s="195">
        <f t="shared" si="1"/>
        <v>38000</v>
      </c>
    </row>
    <row r="38" spans="1:11" ht="15" customHeight="1">
      <c r="A38" s="95" t="s">
        <v>389</v>
      </c>
      <c r="B38" s="95" t="s">
        <v>390</v>
      </c>
      <c r="C38" s="99">
        <v>38000</v>
      </c>
      <c r="D38" s="99"/>
      <c r="E38" s="99"/>
      <c r="F38" s="99"/>
      <c r="G38" s="99"/>
      <c r="H38" s="99"/>
      <c r="I38" s="182">
        <f>C38</f>
        <v>38000</v>
      </c>
      <c r="J38" s="95"/>
      <c r="K38" s="53">
        <f t="shared" si="1"/>
        <v>38000</v>
      </c>
    </row>
    <row r="39" spans="1:11" ht="15" customHeight="1">
      <c r="A39" s="96">
        <v>2</v>
      </c>
      <c r="B39" s="96" t="s">
        <v>391</v>
      </c>
      <c r="C39" s="98">
        <f>C43+C55+C60+C68+C40</f>
        <v>660796</v>
      </c>
      <c r="D39" s="98"/>
      <c r="E39" s="99"/>
      <c r="F39" s="99"/>
      <c r="G39" s="99"/>
      <c r="H39" s="99"/>
      <c r="I39" s="181">
        <f>C39</f>
        <v>660796</v>
      </c>
      <c r="J39" s="95"/>
      <c r="K39" s="195">
        <f t="shared" si="1"/>
        <v>660796</v>
      </c>
    </row>
    <row r="40" spans="1:11" ht="15" customHeight="1">
      <c r="A40" s="96" t="s">
        <v>392</v>
      </c>
      <c r="B40" s="96" t="s">
        <v>393</v>
      </c>
      <c r="C40" s="98">
        <f>C42+C41</f>
        <v>54687</v>
      </c>
      <c r="D40" s="98"/>
      <c r="E40" s="98"/>
      <c r="F40" s="98"/>
      <c r="G40" s="98"/>
      <c r="H40" s="98"/>
      <c r="I40" s="181">
        <f>I42+I41</f>
        <v>54687</v>
      </c>
      <c r="J40" s="99"/>
      <c r="K40" s="195">
        <f t="shared" si="1"/>
        <v>54687</v>
      </c>
    </row>
    <row r="41" spans="1:11" ht="32.25" customHeight="1">
      <c r="A41" s="95" t="s">
        <v>842</v>
      </c>
      <c r="B41" s="103" t="s">
        <v>845</v>
      </c>
      <c r="C41" s="99">
        <v>49687</v>
      </c>
      <c r="D41" s="99"/>
      <c r="E41" s="98"/>
      <c r="F41" s="98"/>
      <c r="G41" s="98"/>
      <c r="H41" s="98"/>
      <c r="I41" s="182">
        <v>49687</v>
      </c>
      <c r="J41" s="99"/>
      <c r="K41" s="53">
        <f>I41+J41</f>
        <v>49687</v>
      </c>
    </row>
    <row r="42" spans="1:11" ht="30" customHeight="1">
      <c r="A42" s="95" t="s">
        <v>394</v>
      </c>
      <c r="B42" s="94" t="s">
        <v>395</v>
      </c>
      <c r="C42" s="99">
        <v>5000</v>
      </c>
      <c r="D42" s="99"/>
      <c r="E42" s="99"/>
      <c r="F42" s="99"/>
      <c r="G42" s="99"/>
      <c r="H42" s="99"/>
      <c r="I42" s="182">
        <f t="shared" si="2" ref="I42:I60">C42</f>
        <v>5000</v>
      </c>
      <c r="J42" s="95"/>
      <c r="K42" s="53">
        <f>I42+J42</f>
        <v>5000</v>
      </c>
    </row>
    <row r="43" spans="1:11" s="86" customFormat="1" ht="30" customHeight="1">
      <c r="A43" s="96" t="s">
        <v>396</v>
      </c>
      <c r="B43" s="97" t="s">
        <v>397</v>
      </c>
      <c r="C43" s="98">
        <f>C44+C49</f>
        <v>18140</v>
      </c>
      <c r="D43" s="98"/>
      <c r="E43" s="98"/>
      <c r="F43" s="98"/>
      <c r="G43" s="98"/>
      <c r="H43" s="98"/>
      <c r="I43" s="181">
        <f t="shared" si="2"/>
        <v>18140</v>
      </c>
      <c r="J43" s="96"/>
      <c r="K43" s="195">
        <f t="shared" si="1"/>
        <v>18140</v>
      </c>
    </row>
    <row r="44" spans="1:11" s="86" customFormat="1" ht="15" customHeight="1">
      <c r="A44" s="96" t="s">
        <v>398</v>
      </c>
      <c r="B44" s="97" t="s">
        <v>399</v>
      </c>
      <c r="C44" s="98">
        <f>C45+C46+C47</f>
        <v>11690</v>
      </c>
      <c r="D44" s="98"/>
      <c r="E44" s="98"/>
      <c r="F44" s="98"/>
      <c r="G44" s="98"/>
      <c r="H44" s="98"/>
      <c r="I44" s="181">
        <f t="shared" si="2"/>
        <v>11690</v>
      </c>
      <c r="J44" s="96"/>
      <c r="K44" s="195">
        <f t="shared" si="1"/>
        <v>11690</v>
      </c>
    </row>
    <row r="45" spans="1:11" ht="30" customHeight="1">
      <c r="A45" s="95" t="s">
        <v>400</v>
      </c>
      <c r="B45" s="94" t="s">
        <v>401</v>
      </c>
      <c r="C45" s="99">
        <v>10000</v>
      </c>
      <c r="D45" s="99"/>
      <c r="E45" s="99"/>
      <c r="F45" s="99"/>
      <c r="G45" s="99"/>
      <c r="H45" s="99"/>
      <c r="I45" s="182">
        <f t="shared" si="2"/>
        <v>10000</v>
      </c>
      <c r="J45" s="95"/>
      <c r="K45" s="53">
        <f t="shared" si="1"/>
        <v>10000</v>
      </c>
    </row>
    <row r="46" spans="1:11" ht="30" customHeight="1">
      <c r="A46" s="95" t="s">
        <v>402</v>
      </c>
      <c r="B46" s="94" t="s">
        <v>403</v>
      </c>
      <c r="C46" s="99">
        <v>1400</v>
      </c>
      <c r="D46" s="99"/>
      <c r="E46" s="99"/>
      <c r="F46" s="99"/>
      <c r="G46" s="99"/>
      <c r="H46" s="99"/>
      <c r="I46" s="182">
        <f t="shared" si="2"/>
        <v>1400</v>
      </c>
      <c r="J46" s="95"/>
      <c r="K46" s="53">
        <f t="shared" si="1"/>
        <v>1400</v>
      </c>
    </row>
    <row r="47" spans="1:11" ht="30" customHeight="1">
      <c r="A47" s="95" t="s">
        <v>404</v>
      </c>
      <c r="B47" s="94" t="s">
        <v>405</v>
      </c>
      <c r="C47" s="99">
        <f>C48</f>
        <v>290</v>
      </c>
      <c r="D47" s="99"/>
      <c r="E47" s="99"/>
      <c r="F47" s="99"/>
      <c r="G47" s="99"/>
      <c r="H47" s="99"/>
      <c r="I47" s="182">
        <f t="shared" si="2"/>
        <v>290</v>
      </c>
      <c r="J47" s="95"/>
      <c r="K47" s="53">
        <f t="shared" si="1"/>
        <v>290</v>
      </c>
    </row>
    <row r="48" spans="1:11" ht="15" customHeight="1">
      <c r="A48" s="95" t="s">
        <v>406</v>
      </c>
      <c r="B48" s="94" t="s">
        <v>407</v>
      </c>
      <c r="C48" s="99">
        <v>290</v>
      </c>
      <c r="D48" s="99"/>
      <c r="E48" s="99"/>
      <c r="F48" s="99"/>
      <c r="G48" s="99"/>
      <c r="H48" s="99"/>
      <c r="I48" s="182">
        <f t="shared" si="2"/>
        <v>290</v>
      </c>
      <c r="J48" s="95"/>
      <c r="K48" s="53">
        <f t="shared" si="1"/>
        <v>290</v>
      </c>
    </row>
    <row r="49" spans="1:11" ht="15" customHeight="1">
      <c r="A49" s="96" t="s">
        <v>408</v>
      </c>
      <c r="B49" s="96" t="s">
        <v>409</v>
      </c>
      <c r="C49" s="98">
        <f>C50+C51+C52+C53+C54</f>
        <v>6450</v>
      </c>
      <c r="D49" s="98"/>
      <c r="E49" s="99"/>
      <c r="F49" s="99"/>
      <c r="G49" s="99"/>
      <c r="H49" s="99"/>
      <c r="I49" s="181">
        <f t="shared" si="2"/>
        <v>6450</v>
      </c>
      <c r="J49" s="95"/>
      <c r="K49" s="195">
        <f t="shared" si="1"/>
        <v>6450</v>
      </c>
    </row>
    <row r="50" spans="1:11" ht="30" customHeight="1">
      <c r="A50" s="95" t="s">
        <v>410</v>
      </c>
      <c r="B50" s="94" t="s">
        <v>411</v>
      </c>
      <c r="C50" s="99">
        <v>300</v>
      </c>
      <c r="D50" s="99"/>
      <c r="E50" s="99"/>
      <c r="F50" s="99"/>
      <c r="G50" s="99"/>
      <c r="H50" s="99"/>
      <c r="I50" s="182">
        <f t="shared" si="2"/>
        <v>300</v>
      </c>
      <c r="J50" s="95"/>
      <c r="K50" s="53">
        <f t="shared" si="1"/>
        <v>300</v>
      </c>
    </row>
    <row r="51" spans="1:11" ht="15" customHeight="1">
      <c r="A51" s="95" t="s">
        <v>412</v>
      </c>
      <c r="B51" s="94" t="s">
        <v>413</v>
      </c>
      <c r="C51" s="99">
        <v>1000</v>
      </c>
      <c r="D51" s="99"/>
      <c r="E51" s="99"/>
      <c r="F51" s="99"/>
      <c r="G51" s="99"/>
      <c r="H51" s="99"/>
      <c r="I51" s="182">
        <f t="shared" si="2"/>
        <v>1000</v>
      </c>
      <c r="J51" s="95"/>
      <c r="K51" s="53">
        <f t="shared" si="1"/>
        <v>1000</v>
      </c>
    </row>
    <row r="52" spans="1:11" ht="30" customHeight="1">
      <c r="A52" s="95" t="s">
        <v>414</v>
      </c>
      <c r="B52" s="94" t="s">
        <v>415</v>
      </c>
      <c r="C52" s="99">
        <v>50</v>
      </c>
      <c r="D52" s="99"/>
      <c r="E52" s="99"/>
      <c r="F52" s="99"/>
      <c r="G52" s="99"/>
      <c r="H52" s="99"/>
      <c r="I52" s="182">
        <f t="shared" si="2"/>
        <v>50</v>
      </c>
      <c r="J52" s="95"/>
      <c r="K52" s="53">
        <f t="shared" si="1"/>
        <v>50</v>
      </c>
    </row>
    <row r="53" spans="1:11" ht="15" customHeight="1">
      <c r="A53" s="95" t="s">
        <v>416</v>
      </c>
      <c r="B53" s="94" t="s">
        <v>417</v>
      </c>
      <c r="C53" s="99">
        <v>5000</v>
      </c>
      <c r="D53" s="99"/>
      <c r="E53" s="99"/>
      <c r="F53" s="99"/>
      <c r="G53" s="99"/>
      <c r="H53" s="99"/>
      <c r="I53" s="182">
        <f t="shared" si="2"/>
        <v>5000</v>
      </c>
      <c r="J53" s="95"/>
      <c r="K53" s="53">
        <f t="shared" si="1"/>
        <v>5000</v>
      </c>
    </row>
    <row r="54" spans="1:11" ht="15" customHeight="1">
      <c r="A54" s="95" t="s">
        <v>418</v>
      </c>
      <c r="B54" s="94" t="s">
        <v>419</v>
      </c>
      <c r="C54" s="99">
        <v>100</v>
      </c>
      <c r="D54" s="99"/>
      <c r="E54" s="99"/>
      <c r="F54" s="99"/>
      <c r="G54" s="99"/>
      <c r="H54" s="99"/>
      <c r="I54" s="182">
        <f t="shared" si="2"/>
        <v>100</v>
      </c>
      <c r="J54" s="95"/>
      <c r="K54" s="53">
        <f t="shared" si="1"/>
        <v>100</v>
      </c>
    </row>
    <row r="55" spans="1:11" ht="15" customHeight="1">
      <c r="A55" s="96" t="s">
        <v>420</v>
      </c>
      <c r="B55" s="96" t="s">
        <v>421</v>
      </c>
      <c r="C55" s="98">
        <f>C56+C59</f>
        <v>4000</v>
      </c>
      <c r="D55" s="98"/>
      <c r="E55" s="99"/>
      <c r="F55" s="99"/>
      <c r="G55" s="99"/>
      <c r="H55" s="99"/>
      <c r="I55" s="181">
        <f t="shared" si="2"/>
        <v>4000</v>
      </c>
      <c r="J55" s="95"/>
      <c r="K55" s="195">
        <f t="shared" si="1"/>
        <v>4000</v>
      </c>
    </row>
    <row r="56" spans="1:11" ht="15" customHeight="1">
      <c r="A56" s="95" t="s">
        <v>422</v>
      </c>
      <c r="B56" s="94" t="s">
        <v>423</v>
      </c>
      <c r="C56" s="99">
        <f>C57+C58</f>
        <v>3500</v>
      </c>
      <c r="D56" s="99"/>
      <c r="E56" s="99"/>
      <c r="F56" s="99"/>
      <c r="G56" s="99"/>
      <c r="H56" s="99"/>
      <c r="I56" s="182">
        <f t="shared" si="2"/>
        <v>3500</v>
      </c>
      <c r="J56" s="95"/>
      <c r="K56" s="53">
        <f t="shared" si="1"/>
        <v>3500</v>
      </c>
    </row>
    <row r="57" spans="1:11" ht="30" customHeight="1">
      <c r="A57" s="95" t="s">
        <v>424</v>
      </c>
      <c r="B57" s="167" t="s">
        <v>425</v>
      </c>
      <c r="C57" s="99">
        <v>2000</v>
      </c>
      <c r="D57" s="99"/>
      <c r="E57" s="99"/>
      <c r="F57" s="99"/>
      <c r="G57" s="99"/>
      <c r="H57" s="99"/>
      <c r="I57" s="182">
        <f t="shared" si="2"/>
        <v>2000</v>
      </c>
      <c r="J57" s="95"/>
      <c r="K57" s="53">
        <f t="shared" si="1"/>
        <v>2000</v>
      </c>
    </row>
    <row r="58" spans="1:11" ht="15" customHeight="1">
      <c r="A58" s="95" t="s">
        <v>426</v>
      </c>
      <c r="B58" s="167" t="s">
        <v>427</v>
      </c>
      <c r="C58" s="99">
        <v>1500</v>
      </c>
      <c r="D58" s="99"/>
      <c r="E58" s="99"/>
      <c r="F58" s="99"/>
      <c r="G58" s="99"/>
      <c r="H58" s="99"/>
      <c r="I58" s="182">
        <f t="shared" si="2"/>
        <v>1500</v>
      </c>
      <c r="J58" s="95"/>
      <c r="K58" s="53">
        <f t="shared" si="1"/>
        <v>1500</v>
      </c>
    </row>
    <row r="59" spans="1:11" ht="30" customHeight="1">
      <c r="A59" s="95" t="s">
        <v>428</v>
      </c>
      <c r="B59" s="94" t="s">
        <v>429</v>
      </c>
      <c r="C59" s="99">
        <v>500</v>
      </c>
      <c r="D59" s="99"/>
      <c r="E59" s="99"/>
      <c r="F59" s="99"/>
      <c r="G59" s="99"/>
      <c r="H59" s="99"/>
      <c r="I59" s="182">
        <f t="shared" si="2"/>
        <v>500</v>
      </c>
      <c r="J59" s="95"/>
      <c r="K59" s="53">
        <f t="shared" si="1"/>
        <v>500</v>
      </c>
    </row>
    <row r="60" spans="1:11" ht="15" customHeight="1">
      <c r="A60" s="96" t="s">
        <v>430</v>
      </c>
      <c r="B60" s="97" t="s">
        <v>431</v>
      </c>
      <c r="C60" s="98">
        <f>C61</f>
        <v>63969</v>
      </c>
      <c r="D60" s="98"/>
      <c r="E60" s="99"/>
      <c r="F60" s="99"/>
      <c r="G60" s="99"/>
      <c r="H60" s="99"/>
      <c r="I60" s="181">
        <f t="shared" si="2"/>
        <v>63969</v>
      </c>
      <c r="J60" s="95"/>
      <c r="K60" s="195">
        <f t="shared" si="1"/>
        <v>63969</v>
      </c>
    </row>
    <row r="61" spans="1:11" ht="30" customHeight="1">
      <c r="A61" s="95" t="s">
        <v>432</v>
      </c>
      <c r="B61" s="94" t="s">
        <v>433</v>
      </c>
      <c r="C61" s="99">
        <f>C62</f>
        <v>63969</v>
      </c>
      <c r="D61" s="99"/>
      <c r="E61" s="99"/>
      <c r="F61" s="99"/>
      <c r="G61" s="99"/>
      <c r="H61" s="99"/>
      <c r="I61" s="182">
        <f>I62</f>
        <v>63969</v>
      </c>
      <c r="J61" s="95"/>
      <c r="K61" s="53">
        <f t="shared" si="1"/>
        <v>63969</v>
      </c>
    </row>
    <row r="62" spans="1:11" ht="15" customHeight="1">
      <c r="A62" s="95" t="s">
        <v>434</v>
      </c>
      <c r="B62" s="94" t="s">
        <v>435</v>
      </c>
      <c r="C62" s="99">
        <f>SUM(C63:C67)</f>
        <v>63969</v>
      </c>
      <c r="D62" s="99"/>
      <c r="E62" s="99"/>
      <c r="F62" s="99"/>
      <c r="G62" s="99"/>
      <c r="H62" s="99"/>
      <c r="I62" s="182">
        <f>SUM(I63:I67)</f>
        <v>63969</v>
      </c>
      <c r="J62" s="95"/>
      <c r="K62" s="53">
        <f t="shared" si="1"/>
        <v>63969</v>
      </c>
    </row>
    <row r="63" spans="1:11" ht="15" customHeight="1">
      <c r="A63" s="95"/>
      <c r="B63" s="95" t="s">
        <v>280</v>
      </c>
      <c r="C63" s="99">
        <v>4000</v>
      </c>
      <c r="D63" s="99"/>
      <c r="E63" s="99"/>
      <c r="F63" s="99"/>
      <c r="G63" s="99"/>
      <c r="H63" s="99"/>
      <c r="I63" s="182">
        <f>C63</f>
        <v>4000</v>
      </c>
      <c r="J63" s="95"/>
      <c r="K63" s="53">
        <f t="shared" si="1"/>
        <v>4000</v>
      </c>
    </row>
    <row r="64" spans="1:11" ht="15" customHeight="1">
      <c r="A64" s="95"/>
      <c r="B64" s="95" t="s">
        <v>436</v>
      </c>
      <c r="C64" s="99">
        <v>2120</v>
      </c>
      <c r="D64" s="99"/>
      <c r="E64" s="99"/>
      <c r="F64" s="99"/>
      <c r="G64" s="99"/>
      <c r="H64" s="99"/>
      <c r="I64" s="182">
        <f>C64</f>
        <v>2120</v>
      </c>
      <c r="J64" s="95"/>
      <c r="K64" s="53">
        <f t="shared" si="1"/>
        <v>2120</v>
      </c>
    </row>
    <row r="65" spans="1:11" ht="15" customHeight="1">
      <c r="A65" s="95"/>
      <c r="B65" s="94" t="s">
        <v>49</v>
      </c>
      <c r="C65" s="99">
        <v>420</v>
      </c>
      <c r="D65" s="99"/>
      <c r="E65" s="99"/>
      <c r="F65" s="99"/>
      <c r="G65" s="99"/>
      <c r="H65" s="99"/>
      <c r="I65" s="182">
        <f>C65</f>
        <v>420</v>
      </c>
      <c r="J65" s="95"/>
      <c r="K65" s="53">
        <f t="shared" si="1"/>
        <v>420</v>
      </c>
    </row>
    <row r="66" spans="1:11" ht="15" customHeight="1">
      <c r="A66" s="95"/>
      <c r="B66" s="94" t="s">
        <v>66</v>
      </c>
      <c r="C66" s="99">
        <v>51600</v>
      </c>
      <c r="D66" s="99"/>
      <c r="E66" s="99"/>
      <c r="F66" s="99"/>
      <c r="G66" s="99"/>
      <c r="H66" s="99"/>
      <c r="I66" s="182">
        <f>C66</f>
        <v>51600</v>
      </c>
      <c r="J66" s="95"/>
      <c r="K66" s="53">
        <f t="shared" si="1"/>
        <v>51600</v>
      </c>
    </row>
    <row r="67" spans="1:11" ht="30" customHeight="1">
      <c r="A67" s="95"/>
      <c r="B67" s="94" t="s">
        <v>437</v>
      </c>
      <c r="C67" s="168">
        <v>5829</v>
      </c>
      <c r="D67" s="168"/>
      <c r="E67" s="99"/>
      <c r="F67" s="99"/>
      <c r="G67" s="99"/>
      <c r="H67" s="99"/>
      <c r="I67" s="182">
        <f>C67</f>
        <v>5829</v>
      </c>
      <c r="J67" s="95"/>
      <c r="K67" s="53">
        <f t="shared" si="1"/>
        <v>5829</v>
      </c>
    </row>
    <row r="68" spans="1:11" ht="30" customHeight="1">
      <c r="A68" s="96" t="s">
        <v>438</v>
      </c>
      <c r="B68" s="97" t="s">
        <v>439</v>
      </c>
      <c r="C68" s="98">
        <f>C69+C70</f>
        <v>520000</v>
      </c>
      <c r="D68" s="98"/>
      <c r="E68" s="99"/>
      <c r="F68" s="99"/>
      <c r="G68" s="99"/>
      <c r="H68" s="99"/>
      <c r="I68" s="181">
        <f>I69+I70</f>
        <v>520000</v>
      </c>
      <c r="J68" s="95"/>
      <c r="K68" s="195">
        <f t="shared" si="1"/>
        <v>520000</v>
      </c>
    </row>
    <row r="69" spans="1:11" ht="15" customHeight="1">
      <c r="A69" s="95" t="s">
        <v>440</v>
      </c>
      <c r="B69" s="94" t="s">
        <v>441</v>
      </c>
      <c r="C69" s="99">
        <v>20000</v>
      </c>
      <c r="D69" s="99"/>
      <c r="E69" s="99"/>
      <c r="F69" s="99"/>
      <c r="G69" s="99"/>
      <c r="H69" s="99"/>
      <c r="I69" s="182">
        <f>C69</f>
        <v>20000</v>
      </c>
      <c r="J69" s="95"/>
      <c r="K69" s="53">
        <f t="shared" si="1"/>
        <v>20000</v>
      </c>
    </row>
    <row r="70" spans="1:11" ht="15" customHeight="1">
      <c r="A70" s="95" t="s">
        <v>442</v>
      </c>
      <c r="B70" s="95" t="s">
        <v>443</v>
      </c>
      <c r="C70" s="99">
        <f>C71+C72</f>
        <v>500000</v>
      </c>
      <c r="D70" s="99"/>
      <c r="E70" s="99"/>
      <c r="F70" s="99"/>
      <c r="G70" s="99"/>
      <c r="H70" s="99"/>
      <c r="I70" s="182">
        <f>C70</f>
        <v>500000</v>
      </c>
      <c r="J70" s="95"/>
      <c r="K70" s="53">
        <f t="shared" si="1"/>
        <v>500000</v>
      </c>
    </row>
    <row r="71" spans="1:11" ht="15" customHeight="1">
      <c r="A71" s="95" t="s">
        <v>444</v>
      </c>
      <c r="B71" s="95" t="s">
        <v>445</v>
      </c>
      <c r="C71" s="99">
        <v>500000</v>
      </c>
      <c r="D71" s="99"/>
      <c r="E71" s="99"/>
      <c r="F71" s="99"/>
      <c r="G71" s="99"/>
      <c r="H71" s="99"/>
      <c r="I71" s="182">
        <f>C71</f>
        <v>500000</v>
      </c>
      <c r="J71" s="95"/>
      <c r="K71" s="53">
        <f t="shared" si="1"/>
        <v>500000</v>
      </c>
    </row>
    <row r="72" spans="1:11" ht="15" customHeight="1">
      <c r="A72" s="95" t="s">
        <v>446</v>
      </c>
      <c r="B72" s="95" t="s">
        <v>447</v>
      </c>
      <c r="C72" s="99"/>
      <c r="D72" s="99"/>
      <c r="E72" s="99"/>
      <c r="F72" s="99"/>
      <c r="G72" s="99"/>
      <c r="H72" s="99"/>
      <c r="I72" s="182">
        <f>C72</f>
        <v>0</v>
      </c>
      <c r="J72" s="95"/>
      <c r="K72" s="53">
        <f t="shared" si="1"/>
        <v>0</v>
      </c>
    </row>
    <row r="73" spans="1:11" ht="47.1" customHeight="1">
      <c r="A73" s="96" t="s">
        <v>448</v>
      </c>
      <c r="B73" s="97" t="s">
        <v>449</v>
      </c>
      <c r="C73" s="98"/>
      <c r="D73" s="98"/>
      <c r="E73" s="98"/>
      <c r="F73" s="98"/>
      <c r="G73" s="98">
        <f>G75+G74+G76</f>
        <v>142534</v>
      </c>
      <c r="H73" s="98">
        <f>H75+H74+H76+H77</f>
        <v>7057</v>
      </c>
      <c r="I73" s="181">
        <f>G73</f>
        <v>142534</v>
      </c>
      <c r="J73" s="98">
        <f>J77</f>
        <v>7057</v>
      </c>
      <c r="K73" s="195">
        <f>I73+J73</f>
        <v>149591</v>
      </c>
    </row>
    <row r="74" spans="1:11" ht="30.6" customHeight="1">
      <c r="A74" s="95" t="s">
        <v>818</v>
      </c>
      <c r="B74" s="169" t="s">
        <v>821</v>
      </c>
      <c r="C74" s="98"/>
      <c r="D74" s="98"/>
      <c r="E74" s="98"/>
      <c r="F74" s="98"/>
      <c r="G74" s="99">
        <v>8000</v>
      </c>
      <c r="H74" s="99"/>
      <c r="I74" s="182">
        <f t="shared" si="3" ref="I74:I91">G74</f>
        <v>8000</v>
      </c>
      <c r="J74" s="95"/>
      <c r="K74" s="53">
        <f t="shared" si="1"/>
        <v>8000</v>
      </c>
    </row>
    <row r="75" spans="1:11" ht="47.1" customHeight="1">
      <c r="A75" s="95" t="s">
        <v>451</v>
      </c>
      <c r="B75" s="221" t="s">
        <v>450</v>
      </c>
      <c r="C75" s="99"/>
      <c r="D75" s="99"/>
      <c r="E75" s="99"/>
      <c r="F75" s="99"/>
      <c r="G75" s="99">
        <v>72900</v>
      </c>
      <c r="H75" s="99"/>
      <c r="I75" s="182">
        <f t="shared" si="3"/>
        <v>72900</v>
      </c>
      <c r="J75" s="95"/>
      <c r="K75" s="53">
        <f t="shared" si="4" ref="K75:K80">I75+J75</f>
        <v>72900</v>
      </c>
    </row>
    <row r="76" spans="1:11" ht="21" customHeight="1">
      <c r="A76" s="95" t="s">
        <v>818</v>
      </c>
      <c r="B76" s="221" t="s">
        <v>877</v>
      </c>
      <c r="C76" s="99"/>
      <c r="D76" s="99"/>
      <c r="E76" s="99"/>
      <c r="F76" s="99"/>
      <c r="G76" s="99">
        <f>61634</f>
        <v>61634</v>
      </c>
      <c r="H76" s="53"/>
      <c r="I76" s="182">
        <f>G76</f>
        <v>61634</v>
      </c>
      <c r="J76" s="99">
        <f>H76</f>
        <v>0</v>
      </c>
      <c r="K76" s="53">
        <f t="shared" si="4"/>
        <v>61634</v>
      </c>
    </row>
    <row r="77" spans="1:11" ht="33" customHeight="1">
      <c r="A77" s="95" t="s">
        <v>818</v>
      </c>
      <c r="B77" s="170" t="s">
        <v>879</v>
      </c>
      <c r="C77" s="99"/>
      <c r="D77" s="99"/>
      <c r="E77" s="99"/>
      <c r="F77" s="99"/>
      <c r="G77" s="99"/>
      <c r="H77" s="53">
        <v>7057</v>
      </c>
      <c r="I77" s="182"/>
      <c r="J77" s="99">
        <f>H77</f>
        <v>7057</v>
      </c>
      <c r="K77" s="53">
        <f t="shared" si="4"/>
        <v>7057</v>
      </c>
    </row>
    <row r="78" spans="1:12" ht="15" customHeight="1">
      <c r="A78" s="96" t="s">
        <v>453</v>
      </c>
      <c r="B78" s="83" t="s">
        <v>454</v>
      </c>
      <c r="C78" s="98"/>
      <c r="D78" s="98"/>
      <c r="E78" s="98"/>
      <c r="F78" s="98"/>
      <c r="G78" s="98">
        <f>G79+G157+G142+G158</f>
        <v>14452422</v>
      </c>
      <c r="H78" s="98">
        <f>H79+H142</f>
        <v>18476</v>
      </c>
      <c r="I78" s="181">
        <f>G78</f>
        <v>14452422</v>
      </c>
      <c r="J78" s="98">
        <f>J79+J142</f>
        <v>18476</v>
      </c>
      <c r="K78" s="195">
        <f t="shared" si="4"/>
        <v>14470898</v>
      </c>
      <c r="L78" s="100"/>
    </row>
    <row r="79" spans="1:11" ht="30" customHeight="1">
      <c r="A79" s="96" t="s">
        <v>455</v>
      </c>
      <c r="B79" s="85" t="s">
        <v>456</v>
      </c>
      <c r="C79" s="98"/>
      <c r="D79" s="98"/>
      <c r="E79" s="98"/>
      <c r="F79" s="98"/>
      <c r="G79" s="98">
        <v>7896340</v>
      </c>
      <c r="H79" s="98">
        <f>H137+H80+H109+H111+H89+H133+H107+H108+H119+H98+H135+H118+H138+H134+H139</f>
        <v>11767</v>
      </c>
      <c r="I79" s="181">
        <f>G79</f>
        <v>7896340</v>
      </c>
      <c r="J79" s="98">
        <f>H79</f>
        <v>11767</v>
      </c>
      <c r="K79" s="195">
        <f t="shared" si="4"/>
        <v>7908107</v>
      </c>
    </row>
    <row r="80" spans="1:11" ht="45" customHeight="1">
      <c r="A80" s="95" t="s">
        <v>457</v>
      </c>
      <c r="B80" s="72" t="s">
        <v>458</v>
      </c>
      <c r="C80" s="99"/>
      <c r="D80" s="99"/>
      <c r="E80" s="99"/>
      <c r="F80" s="99"/>
      <c r="G80" s="99">
        <f>3251056+23400</f>
        <v>3274456</v>
      </c>
      <c r="H80" s="53"/>
      <c r="I80" s="182">
        <f>G80</f>
        <v>3274456</v>
      </c>
      <c r="J80" s="99"/>
      <c r="K80" s="53">
        <f t="shared" si="4"/>
        <v>3274456</v>
      </c>
    </row>
    <row r="81" spans="1:11" ht="60" customHeight="1">
      <c r="A81" s="95" t="s">
        <v>457</v>
      </c>
      <c r="B81" s="72" t="s">
        <v>459</v>
      </c>
      <c r="C81" s="99"/>
      <c r="D81" s="99"/>
      <c r="E81" s="99"/>
      <c r="F81" s="99"/>
      <c r="G81" s="99">
        <v>182000</v>
      </c>
      <c r="H81" s="99"/>
      <c r="I81" s="182">
        <f t="shared" si="3"/>
        <v>182000</v>
      </c>
      <c r="J81" s="95"/>
      <c r="K81" s="53">
        <f t="shared" si="5" ref="K81:K164">I81+J81</f>
        <v>182000</v>
      </c>
    </row>
    <row r="82" spans="1:11" ht="45" customHeight="1">
      <c r="A82" s="95" t="s">
        <v>457</v>
      </c>
      <c r="B82" s="72" t="s">
        <v>460</v>
      </c>
      <c r="C82" s="99"/>
      <c r="D82" s="99"/>
      <c r="E82" s="99"/>
      <c r="F82" s="99"/>
      <c r="G82" s="99">
        <v>157847</v>
      </c>
      <c r="H82" s="99"/>
      <c r="I82" s="182">
        <f t="shared" si="3"/>
        <v>157847</v>
      </c>
      <c r="J82" s="95"/>
      <c r="K82" s="53">
        <f t="shared" si="5"/>
        <v>157847</v>
      </c>
    </row>
    <row r="83" spans="1:11" ht="60" customHeight="1">
      <c r="A83" s="95" t="s">
        <v>461</v>
      </c>
      <c r="B83" s="72" t="s">
        <v>462</v>
      </c>
      <c r="C83" s="99"/>
      <c r="D83" s="99"/>
      <c r="E83" s="99"/>
      <c r="F83" s="99"/>
      <c r="G83" s="99">
        <v>581731</v>
      </c>
      <c r="H83" s="99"/>
      <c r="I83" s="182">
        <f t="shared" si="3"/>
        <v>581731</v>
      </c>
      <c r="J83" s="95"/>
      <c r="K83" s="53">
        <f t="shared" si="5"/>
        <v>581731</v>
      </c>
    </row>
    <row r="84" spans="1:11" ht="30" customHeight="1">
      <c r="A84" s="95" t="s">
        <v>463</v>
      </c>
      <c r="B84" s="219" t="s">
        <v>464</v>
      </c>
      <c r="C84" s="99"/>
      <c r="D84" s="99"/>
      <c r="E84" s="99"/>
      <c r="F84" s="99"/>
      <c r="G84" s="99">
        <v>21550</v>
      </c>
      <c r="H84" s="99"/>
      <c r="I84" s="182">
        <f t="shared" si="3"/>
        <v>21550</v>
      </c>
      <c r="J84" s="95"/>
      <c r="K84" s="53">
        <f t="shared" si="5"/>
        <v>21550</v>
      </c>
    </row>
    <row r="85" spans="1:11" ht="15" customHeight="1">
      <c r="A85" s="95" t="s">
        <v>465</v>
      </c>
      <c r="B85" s="72" t="s">
        <v>466</v>
      </c>
      <c r="C85" s="99"/>
      <c r="D85" s="99"/>
      <c r="E85" s="99"/>
      <c r="F85" s="99"/>
      <c r="G85" s="99">
        <v>963135</v>
      </c>
      <c r="H85" s="99"/>
      <c r="I85" s="182">
        <f t="shared" si="3"/>
        <v>963135</v>
      </c>
      <c r="J85" s="95"/>
      <c r="K85" s="53">
        <f t="shared" si="5"/>
        <v>963135</v>
      </c>
    </row>
    <row r="86" spans="1:11" ht="15" customHeight="1">
      <c r="A86" s="95" t="s">
        <v>467</v>
      </c>
      <c r="B86" s="84" t="s">
        <v>468</v>
      </c>
      <c r="C86" s="99"/>
      <c r="D86" s="99"/>
      <c r="E86" s="99"/>
      <c r="F86" s="99"/>
      <c r="G86" s="99">
        <v>374372</v>
      </c>
      <c r="H86" s="99"/>
      <c r="I86" s="182">
        <f t="shared" si="3"/>
        <v>374372</v>
      </c>
      <c r="J86" s="95"/>
      <c r="K86" s="53">
        <f t="shared" si="5"/>
        <v>374372</v>
      </c>
    </row>
    <row r="87" spans="1:11" ht="15" customHeight="1">
      <c r="A87" s="95" t="s">
        <v>469</v>
      </c>
      <c r="B87" s="84" t="s">
        <v>470</v>
      </c>
      <c r="C87" s="99"/>
      <c r="D87" s="99"/>
      <c r="E87" s="99"/>
      <c r="F87" s="99"/>
      <c r="G87" s="99">
        <v>538057</v>
      </c>
      <c r="H87" s="99"/>
      <c r="I87" s="182">
        <f t="shared" si="3"/>
        <v>538057</v>
      </c>
      <c r="J87" s="84"/>
      <c r="K87" s="53">
        <f t="shared" si="5"/>
        <v>538057</v>
      </c>
    </row>
    <row r="88" spans="1:11" ht="30" customHeight="1">
      <c r="A88" s="95" t="s">
        <v>471</v>
      </c>
      <c r="B88" s="72" t="s">
        <v>472</v>
      </c>
      <c r="C88" s="99"/>
      <c r="D88" s="99"/>
      <c r="E88" s="99"/>
      <c r="F88" s="99"/>
      <c r="G88" s="99">
        <v>161226</v>
      </c>
      <c r="H88" s="99"/>
      <c r="I88" s="182">
        <f>G88</f>
        <v>161226</v>
      </c>
      <c r="J88" s="95"/>
      <c r="K88" s="53">
        <f t="shared" si="5"/>
        <v>161226</v>
      </c>
    </row>
    <row r="89" spans="1:11" ht="30" customHeight="1">
      <c r="A89" s="95" t="s">
        <v>863</v>
      </c>
      <c r="B89" s="72" t="s">
        <v>878</v>
      </c>
      <c r="C89" s="99"/>
      <c r="D89" s="99"/>
      <c r="E89" s="99"/>
      <c r="F89" s="99"/>
      <c r="G89" s="99">
        <v>5273</v>
      </c>
      <c r="H89" s="53"/>
      <c r="I89" s="182">
        <v>5273</v>
      </c>
      <c r="J89" s="99">
        <f>H89</f>
        <v>0</v>
      </c>
      <c r="K89" s="53">
        <f>I89+J89</f>
        <v>5273</v>
      </c>
    </row>
    <row r="90" spans="1:11" ht="30" customHeight="1">
      <c r="A90" s="95" t="s">
        <v>846</v>
      </c>
      <c r="B90" s="72" t="s">
        <v>847</v>
      </c>
      <c r="C90" s="99"/>
      <c r="D90" s="99"/>
      <c r="E90" s="99"/>
      <c r="F90" s="99"/>
      <c r="G90" s="99">
        <v>72644</v>
      </c>
      <c r="H90" s="99"/>
      <c r="I90" s="182">
        <f>G90</f>
        <v>72644</v>
      </c>
      <c r="J90" s="99">
        <v>0</v>
      </c>
      <c r="K90" s="53">
        <f t="shared" si="5"/>
        <v>72644</v>
      </c>
    </row>
    <row r="91" spans="1:11" ht="45" customHeight="1">
      <c r="A91" s="95" t="s">
        <v>473</v>
      </c>
      <c r="B91" s="94" t="s">
        <v>474</v>
      </c>
      <c r="C91" s="99"/>
      <c r="D91" s="99"/>
      <c r="E91" s="99"/>
      <c r="F91" s="99"/>
      <c r="G91" s="99">
        <f>SUM(G92:G106)</f>
        <v>27404</v>
      </c>
      <c r="H91" s="99"/>
      <c r="I91" s="182">
        <f t="shared" si="3"/>
        <v>27404</v>
      </c>
      <c r="J91" s="84"/>
      <c r="K91" s="53">
        <f t="shared" si="5"/>
        <v>27404</v>
      </c>
    </row>
    <row r="92" spans="1:11" ht="15" customHeight="1">
      <c r="A92" s="95"/>
      <c r="B92" s="94" t="s">
        <v>475</v>
      </c>
      <c r="C92" s="99"/>
      <c r="D92" s="99"/>
      <c r="E92" s="99"/>
      <c r="F92" s="99"/>
      <c r="G92" s="99">
        <v>403</v>
      </c>
      <c r="H92" s="99"/>
      <c r="I92" s="182">
        <f t="shared" si="6" ref="I92:I106">C92+E92+G92</f>
        <v>403</v>
      </c>
      <c r="J92" s="84"/>
      <c r="K92" s="53">
        <f t="shared" si="5"/>
        <v>403</v>
      </c>
    </row>
    <row r="93" spans="1:11" ht="15" customHeight="1">
      <c r="A93" s="95"/>
      <c r="B93" s="94" t="s">
        <v>155</v>
      </c>
      <c r="C93" s="99"/>
      <c r="D93" s="99"/>
      <c r="E93" s="99"/>
      <c r="F93" s="99"/>
      <c r="G93" s="99">
        <v>2015</v>
      </c>
      <c r="H93" s="99"/>
      <c r="I93" s="182">
        <f t="shared" si="6"/>
        <v>2015</v>
      </c>
      <c r="J93" s="84"/>
      <c r="K93" s="53">
        <f t="shared" si="5"/>
        <v>2015</v>
      </c>
    </row>
    <row r="94" spans="1:11" ht="15" customHeight="1">
      <c r="A94" s="95"/>
      <c r="B94" s="94" t="s">
        <v>80</v>
      </c>
      <c r="C94" s="99"/>
      <c r="D94" s="99"/>
      <c r="E94" s="99"/>
      <c r="F94" s="99"/>
      <c r="G94" s="99">
        <v>6851</v>
      </c>
      <c r="H94" s="99"/>
      <c r="I94" s="182">
        <f t="shared" si="6"/>
        <v>6851</v>
      </c>
      <c r="J94" s="84"/>
      <c r="K94" s="53">
        <f t="shared" si="5"/>
        <v>6851</v>
      </c>
    </row>
    <row r="95" spans="1:11" ht="15" customHeight="1">
      <c r="A95" s="95"/>
      <c r="B95" s="72" t="s">
        <v>192</v>
      </c>
      <c r="C95" s="99"/>
      <c r="D95" s="99"/>
      <c r="E95" s="99"/>
      <c r="F95" s="99"/>
      <c r="G95" s="99">
        <v>3224</v>
      </c>
      <c r="H95" s="99"/>
      <c r="I95" s="182">
        <f t="shared" si="6"/>
        <v>3224</v>
      </c>
      <c r="J95" s="84"/>
      <c r="K95" s="53">
        <f t="shared" si="5"/>
        <v>3224</v>
      </c>
    </row>
    <row r="96" spans="1:11" ht="15" customHeight="1">
      <c r="A96" s="95"/>
      <c r="B96" s="72" t="s">
        <v>160</v>
      </c>
      <c r="C96" s="99"/>
      <c r="D96" s="99"/>
      <c r="E96" s="99"/>
      <c r="F96" s="99"/>
      <c r="G96" s="99">
        <v>1612</v>
      </c>
      <c r="H96" s="99"/>
      <c r="I96" s="182">
        <f t="shared" si="6"/>
        <v>1612</v>
      </c>
      <c r="J96" s="84"/>
      <c r="K96" s="53">
        <f t="shared" si="5"/>
        <v>1612</v>
      </c>
    </row>
    <row r="97" spans="1:11" ht="15" customHeight="1">
      <c r="A97" s="95"/>
      <c r="B97" s="72" t="s">
        <v>476</v>
      </c>
      <c r="C97" s="99"/>
      <c r="D97" s="99"/>
      <c r="E97" s="99"/>
      <c r="F97" s="99"/>
      <c r="G97" s="99">
        <v>2015</v>
      </c>
      <c r="H97" s="99"/>
      <c r="I97" s="182">
        <f t="shared" si="6"/>
        <v>2015</v>
      </c>
      <c r="J97" s="84"/>
      <c r="K97" s="53">
        <f t="shared" si="5"/>
        <v>2015</v>
      </c>
    </row>
    <row r="98" spans="1:11" ht="15" customHeight="1">
      <c r="A98" s="95"/>
      <c r="B98" s="72" t="s">
        <v>867</v>
      </c>
      <c r="C98" s="99"/>
      <c r="D98" s="99"/>
      <c r="E98" s="99"/>
      <c r="F98" s="99"/>
      <c r="G98" s="99">
        <v>806</v>
      </c>
      <c r="H98" s="99"/>
      <c r="I98" s="182">
        <f t="shared" si="6"/>
        <v>806</v>
      </c>
      <c r="J98" s="53">
        <f>H98</f>
        <v>0</v>
      </c>
      <c r="K98" s="53">
        <f t="shared" si="5"/>
        <v>806</v>
      </c>
    </row>
    <row r="99" spans="1:11" ht="15" customHeight="1">
      <c r="A99" s="95"/>
      <c r="B99" s="72" t="s">
        <v>477</v>
      </c>
      <c r="C99" s="99"/>
      <c r="D99" s="99"/>
      <c r="E99" s="99"/>
      <c r="F99" s="99"/>
      <c r="G99" s="99">
        <v>1209</v>
      </c>
      <c r="H99" s="99"/>
      <c r="I99" s="182">
        <f>C99+E99+G99</f>
        <v>1209</v>
      </c>
      <c r="J99" s="84"/>
      <c r="K99" s="53">
        <f t="shared" si="5"/>
        <v>1209</v>
      </c>
    </row>
    <row r="100" spans="1:11" ht="15" customHeight="1">
      <c r="A100" s="95"/>
      <c r="B100" s="72" t="s">
        <v>478</v>
      </c>
      <c r="C100" s="99"/>
      <c r="D100" s="99"/>
      <c r="E100" s="99"/>
      <c r="F100" s="99"/>
      <c r="G100" s="99">
        <v>4030</v>
      </c>
      <c r="H100" s="99"/>
      <c r="I100" s="182">
        <f t="shared" si="6"/>
        <v>4030</v>
      </c>
      <c r="J100" s="84"/>
      <c r="K100" s="53">
        <f t="shared" si="5"/>
        <v>4030</v>
      </c>
    </row>
    <row r="101" spans="1:11" ht="15" customHeight="1">
      <c r="A101" s="95"/>
      <c r="B101" s="72" t="s">
        <v>201</v>
      </c>
      <c r="C101" s="99"/>
      <c r="D101" s="99"/>
      <c r="E101" s="99"/>
      <c r="F101" s="99"/>
      <c r="G101" s="99">
        <v>403</v>
      </c>
      <c r="H101" s="99"/>
      <c r="I101" s="182">
        <f t="shared" si="6"/>
        <v>403</v>
      </c>
      <c r="J101" s="84"/>
      <c r="K101" s="53">
        <f t="shared" si="5"/>
        <v>403</v>
      </c>
    </row>
    <row r="102" spans="1:11" ht="15" customHeight="1">
      <c r="A102" s="95"/>
      <c r="B102" s="72" t="s">
        <v>310</v>
      </c>
      <c r="C102" s="99"/>
      <c r="D102" s="99"/>
      <c r="E102" s="99"/>
      <c r="F102" s="99"/>
      <c r="G102" s="99">
        <v>1612</v>
      </c>
      <c r="H102" s="99"/>
      <c r="I102" s="182">
        <f t="shared" si="6"/>
        <v>1612</v>
      </c>
      <c r="J102" s="84"/>
      <c r="K102" s="53">
        <f t="shared" si="5"/>
        <v>1612</v>
      </c>
    </row>
    <row r="103" spans="1:11" ht="15" customHeight="1">
      <c r="A103" s="95"/>
      <c r="B103" s="72" t="s">
        <v>479</v>
      </c>
      <c r="C103" s="99"/>
      <c r="D103" s="99"/>
      <c r="E103" s="99"/>
      <c r="F103" s="99"/>
      <c r="G103" s="99">
        <v>1209</v>
      </c>
      <c r="H103" s="99"/>
      <c r="I103" s="182">
        <f t="shared" si="6"/>
        <v>1209</v>
      </c>
      <c r="J103" s="84"/>
      <c r="K103" s="53">
        <f t="shared" si="5"/>
        <v>1209</v>
      </c>
    </row>
    <row r="104" spans="1:11" ht="15" customHeight="1">
      <c r="A104" s="95"/>
      <c r="B104" s="72" t="s">
        <v>156</v>
      </c>
      <c r="C104" s="99"/>
      <c r="D104" s="99"/>
      <c r="E104" s="99"/>
      <c r="F104" s="99"/>
      <c r="G104" s="99">
        <v>403</v>
      </c>
      <c r="H104" s="99"/>
      <c r="I104" s="182">
        <f t="shared" si="6"/>
        <v>403</v>
      </c>
      <c r="J104" s="84"/>
      <c r="K104" s="53">
        <f t="shared" si="5"/>
        <v>403</v>
      </c>
    </row>
    <row r="105" spans="1:11" ht="15" customHeight="1">
      <c r="A105" s="95"/>
      <c r="B105" s="72" t="s">
        <v>480</v>
      </c>
      <c r="C105" s="99"/>
      <c r="D105" s="99"/>
      <c r="E105" s="99"/>
      <c r="F105" s="99"/>
      <c r="G105" s="99">
        <v>403</v>
      </c>
      <c r="H105" s="99"/>
      <c r="I105" s="182">
        <f t="shared" si="6"/>
        <v>403</v>
      </c>
      <c r="J105" s="84"/>
      <c r="K105" s="53">
        <f t="shared" si="5"/>
        <v>403</v>
      </c>
    </row>
    <row r="106" spans="1:11" ht="15" customHeight="1">
      <c r="A106" s="95"/>
      <c r="B106" s="72" t="s">
        <v>218</v>
      </c>
      <c r="C106" s="99"/>
      <c r="D106" s="99"/>
      <c r="E106" s="99"/>
      <c r="F106" s="99"/>
      <c r="G106" s="99">
        <v>1209</v>
      </c>
      <c r="H106" s="99"/>
      <c r="I106" s="182">
        <f t="shared" si="6"/>
        <v>1209</v>
      </c>
      <c r="J106" s="84"/>
      <c r="K106" s="53">
        <f t="shared" si="5"/>
        <v>1209</v>
      </c>
    </row>
    <row r="107" spans="1:11" ht="30" customHeight="1">
      <c r="A107" s="95" t="s">
        <v>481</v>
      </c>
      <c r="B107" s="72" t="s">
        <v>482</v>
      </c>
      <c r="C107" s="99"/>
      <c r="D107" s="99"/>
      <c r="E107" s="99"/>
      <c r="F107" s="99"/>
      <c r="G107" s="99">
        <f>26000+3300</f>
        <v>29300</v>
      </c>
      <c r="H107" s="99"/>
      <c r="I107" s="182">
        <f t="shared" si="7" ref="I107:J158">G107</f>
        <v>29300</v>
      </c>
      <c r="J107" s="53">
        <f>H107</f>
        <v>0</v>
      </c>
      <c r="K107" s="53">
        <f t="shared" si="5"/>
        <v>29300</v>
      </c>
    </row>
    <row r="108" spans="1:11" ht="15" customHeight="1">
      <c r="A108" s="95"/>
      <c r="B108" s="219" t="s">
        <v>483</v>
      </c>
      <c r="C108" s="99"/>
      <c r="D108" s="99"/>
      <c r="E108" s="99"/>
      <c r="F108" s="99"/>
      <c r="G108" s="99">
        <f>12789+35900</f>
        <v>48689</v>
      </c>
      <c r="H108" s="53"/>
      <c r="I108" s="182">
        <f t="shared" si="7"/>
        <v>48689</v>
      </c>
      <c r="J108" s="84"/>
      <c r="K108" s="53">
        <f>I108+J108</f>
        <v>48689</v>
      </c>
    </row>
    <row r="109" spans="1:11" ht="15" customHeight="1">
      <c r="A109" s="95" t="s">
        <v>861</v>
      </c>
      <c r="B109" s="219" t="s">
        <v>862</v>
      </c>
      <c r="C109" s="99"/>
      <c r="D109" s="99"/>
      <c r="E109" s="99"/>
      <c r="F109" s="99"/>
      <c r="G109" s="99">
        <v>6492</v>
      </c>
      <c r="H109" s="53">
        <f>H110</f>
        <v>8500</v>
      </c>
      <c r="I109" s="182">
        <f t="shared" si="7"/>
        <v>6492</v>
      </c>
      <c r="J109" s="99">
        <f>J110</f>
        <v>8500</v>
      </c>
      <c r="K109" s="53">
        <f>I109+J109</f>
        <v>14992</v>
      </c>
    </row>
    <row r="110" spans="1:11" ht="15" customHeight="1">
      <c r="A110" s="95"/>
      <c r="B110" s="114" t="s">
        <v>884</v>
      </c>
      <c r="C110" s="99"/>
      <c r="D110" s="99"/>
      <c r="E110" s="99"/>
      <c r="F110" s="99"/>
      <c r="G110" s="99"/>
      <c r="H110" s="99">
        <v>8500</v>
      </c>
      <c r="I110" s="182"/>
      <c r="J110" s="99">
        <f>H110</f>
        <v>8500</v>
      </c>
      <c r="K110" s="53">
        <f>I110+J110</f>
        <v>8500</v>
      </c>
    </row>
    <row r="111" spans="1:11" ht="15" customHeight="1">
      <c r="A111" s="95" t="s">
        <v>858</v>
      </c>
      <c r="B111" s="219" t="s">
        <v>859</v>
      </c>
      <c r="C111" s="99"/>
      <c r="D111" s="99"/>
      <c r="E111" s="99"/>
      <c r="F111" s="99"/>
      <c r="G111" s="99">
        <v>21100</v>
      </c>
      <c r="H111" s="53"/>
      <c r="I111" s="182">
        <f t="shared" si="7"/>
        <v>21100</v>
      </c>
      <c r="J111" s="84"/>
      <c r="K111" s="53">
        <f>I111+J111</f>
        <v>21100</v>
      </c>
    </row>
    <row r="112" spans="1:11" ht="15" customHeight="1">
      <c r="A112" s="95"/>
      <c r="B112" s="71" t="s">
        <v>854</v>
      </c>
      <c r="C112" s="99"/>
      <c r="D112" s="99"/>
      <c r="E112" s="99"/>
      <c r="F112" s="99"/>
      <c r="G112" s="99">
        <v>2400</v>
      </c>
      <c r="H112" s="53"/>
      <c r="I112" s="182">
        <f t="shared" si="7"/>
        <v>2400</v>
      </c>
      <c r="J112" s="53">
        <f>H112</f>
        <v>0</v>
      </c>
      <c r="K112" s="53">
        <f t="shared" si="8" ref="K112:K117">I112+J112</f>
        <v>2400</v>
      </c>
    </row>
    <row r="113" spans="1:11" ht="38.25" customHeight="1">
      <c r="A113" s="95"/>
      <c r="B113" s="71" t="s">
        <v>852</v>
      </c>
      <c r="C113" s="99"/>
      <c r="D113" s="99"/>
      <c r="E113" s="99"/>
      <c r="F113" s="99"/>
      <c r="G113" s="99">
        <v>2000</v>
      </c>
      <c r="H113" s="53"/>
      <c r="I113" s="182">
        <f t="shared" si="7"/>
        <v>2000</v>
      </c>
      <c r="J113" s="53">
        <f t="shared" si="9" ref="J113:J117">H113</f>
        <v>0</v>
      </c>
      <c r="K113" s="53">
        <f t="shared" si="8"/>
        <v>2000</v>
      </c>
    </row>
    <row r="114" spans="1:11" ht="15" customHeight="1">
      <c r="A114" s="95"/>
      <c r="B114" s="71" t="s">
        <v>853</v>
      </c>
      <c r="C114" s="99"/>
      <c r="D114" s="99"/>
      <c r="E114" s="99"/>
      <c r="F114" s="99"/>
      <c r="G114" s="99">
        <v>1000</v>
      </c>
      <c r="H114" s="53"/>
      <c r="I114" s="182">
        <f t="shared" si="7"/>
        <v>1000</v>
      </c>
      <c r="J114" s="53">
        <f t="shared" si="9"/>
        <v>0</v>
      </c>
      <c r="K114" s="53">
        <f t="shared" si="8"/>
        <v>1000</v>
      </c>
    </row>
    <row r="115" spans="1:11" ht="33" customHeight="1">
      <c r="A115" s="95"/>
      <c r="B115" s="71" t="s">
        <v>860</v>
      </c>
      <c r="C115" s="99"/>
      <c r="D115" s="99"/>
      <c r="E115" s="99"/>
      <c r="F115" s="99"/>
      <c r="G115" s="99">
        <v>400</v>
      </c>
      <c r="H115" s="53"/>
      <c r="I115" s="182">
        <f t="shared" si="7"/>
        <v>400</v>
      </c>
      <c r="J115" s="53">
        <f t="shared" si="9"/>
        <v>0</v>
      </c>
      <c r="K115" s="53">
        <f t="shared" si="8"/>
        <v>400</v>
      </c>
    </row>
    <row r="116" spans="1:11" ht="33.75" customHeight="1">
      <c r="A116" s="95"/>
      <c r="B116" s="71" t="s">
        <v>856</v>
      </c>
      <c r="C116" s="99"/>
      <c r="D116" s="99"/>
      <c r="E116" s="99"/>
      <c r="F116" s="99"/>
      <c r="G116" s="99">
        <v>10000</v>
      </c>
      <c r="H116" s="53"/>
      <c r="I116" s="182">
        <f t="shared" si="7"/>
        <v>10000</v>
      </c>
      <c r="J116" s="53">
        <f t="shared" si="9"/>
        <v>0</v>
      </c>
      <c r="K116" s="53">
        <f t="shared" si="8"/>
        <v>10000</v>
      </c>
    </row>
    <row r="117" spans="1:11" ht="37.5" customHeight="1">
      <c r="A117" s="95"/>
      <c r="B117" s="71" t="s">
        <v>855</v>
      </c>
      <c r="C117" s="99"/>
      <c r="D117" s="99"/>
      <c r="E117" s="99"/>
      <c r="F117" s="99"/>
      <c r="G117" s="99">
        <v>5300</v>
      </c>
      <c r="H117" s="53"/>
      <c r="I117" s="182">
        <f t="shared" si="7"/>
        <v>5300</v>
      </c>
      <c r="J117" s="53">
        <f t="shared" si="9"/>
        <v>0</v>
      </c>
      <c r="K117" s="53">
        <f t="shared" si="8"/>
        <v>5300</v>
      </c>
    </row>
    <row r="118" spans="1:11" ht="30" customHeight="1">
      <c r="A118" s="95" t="s">
        <v>484</v>
      </c>
      <c r="B118" s="72" t="s">
        <v>754</v>
      </c>
      <c r="C118" s="99"/>
      <c r="D118" s="99"/>
      <c r="E118" s="99"/>
      <c r="F118" s="99"/>
      <c r="G118" s="99">
        <f>4770+510</f>
        <v>5280</v>
      </c>
      <c r="H118" s="53"/>
      <c r="I118" s="182">
        <f t="shared" si="7"/>
        <v>5280</v>
      </c>
      <c r="J118" s="53">
        <f>H118</f>
        <v>0</v>
      </c>
      <c r="K118" s="53">
        <f t="shared" si="5"/>
        <v>5280</v>
      </c>
    </row>
    <row r="119" spans="1:11" ht="23.25" customHeight="1">
      <c r="A119" s="95" t="s">
        <v>495</v>
      </c>
      <c r="B119" s="72" t="s">
        <v>870</v>
      </c>
      <c r="C119" s="99"/>
      <c r="D119" s="99"/>
      <c r="E119" s="99"/>
      <c r="F119" s="99"/>
      <c r="G119" s="99">
        <v>97012</v>
      </c>
      <c r="H119" s="99"/>
      <c r="I119" s="182">
        <f t="shared" si="7"/>
        <v>97012</v>
      </c>
      <c r="J119" s="53">
        <f>H119</f>
        <v>0</v>
      </c>
      <c r="K119" s="53">
        <f t="shared" si="5"/>
        <v>97012</v>
      </c>
    </row>
    <row r="120" spans="1:11" ht="15" customHeight="1">
      <c r="A120" s="95" t="s">
        <v>485</v>
      </c>
      <c r="B120" s="95" t="s">
        <v>486</v>
      </c>
      <c r="C120" s="99"/>
      <c r="D120" s="99"/>
      <c r="E120" s="99"/>
      <c r="F120" s="99"/>
      <c r="G120" s="99">
        <f>SUM(G121:G129)</f>
        <v>115434</v>
      </c>
      <c r="H120" s="99"/>
      <c r="I120" s="182">
        <f t="shared" si="7"/>
        <v>115434</v>
      </c>
      <c r="J120" s="84"/>
      <c r="K120" s="53">
        <f t="shared" si="5"/>
        <v>115434</v>
      </c>
    </row>
    <row r="121" spans="1:11" s="88" customFormat="1" ht="15" customHeight="1">
      <c r="A121" s="146"/>
      <c r="B121" s="119" t="s">
        <v>487</v>
      </c>
      <c r="C121" s="118"/>
      <c r="D121" s="118"/>
      <c r="E121" s="118"/>
      <c r="F121" s="118"/>
      <c r="G121" s="118">
        <v>12896</v>
      </c>
      <c r="H121" s="118"/>
      <c r="I121" s="183">
        <f t="shared" si="7"/>
        <v>12896</v>
      </c>
      <c r="J121" s="185"/>
      <c r="K121" s="53">
        <f t="shared" si="5"/>
        <v>12896</v>
      </c>
    </row>
    <row r="122" spans="1:11" s="88" customFormat="1" ht="15" customHeight="1">
      <c r="A122" s="146"/>
      <c r="B122" s="119" t="s">
        <v>488</v>
      </c>
      <c r="C122" s="118"/>
      <c r="D122" s="118"/>
      <c r="E122" s="118"/>
      <c r="F122" s="118"/>
      <c r="G122" s="118">
        <v>12266</v>
      </c>
      <c r="H122" s="118"/>
      <c r="I122" s="183">
        <f t="shared" si="7"/>
        <v>12266</v>
      </c>
      <c r="J122" s="185"/>
      <c r="K122" s="53">
        <f t="shared" si="5"/>
        <v>12266</v>
      </c>
    </row>
    <row r="123" spans="1:11" s="88" customFormat="1" ht="15" customHeight="1">
      <c r="A123" s="146"/>
      <c r="B123" s="119" t="s">
        <v>489</v>
      </c>
      <c r="C123" s="118"/>
      <c r="D123" s="118"/>
      <c r="E123" s="118"/>
      <c r="F123" s="118"/>
      <c r="G123" s="118">
        <v>12896</v>
      </c>
      <c r="H123" s="118"/>
      <c r="I123" s="183">
        <f t="shared" si="7"/>
        <v>12896</v>
      </c>
      <c r="J123" s="185"/>
      <c r="K123" s="53">
        <f t="shared" si="5"/>
        <v>12896</v>
      </c>
    </row>
    <row r="124" spans="1:11" s="88" customFormat="1" ht="15" customHeight="1">
      <c r="A124" s="146"/>
      <c r="B124" s="119" t="s">
        <v>490</v>
      </c>
      <c r="C124" s="118"/>
      <c r="D124" s="118"/>
      <c r="E124" s="118"/>
      <c r="F124" s="118"/>
      <c r="G124" s="118">
        <v>12896</v>
      </c>
      <c r="H124" s="118"/>
      <c r="I124" s="183">
        <f t="shared" si="7"/>
        <v>12896</v>
      </c>
      <c r="J124" s="185"/>
      <c r="K124" s="53">
        <f t="shared" si="5"/>
        <v>12896</v>
      </c>
    </row>
    <row r="125" spans="1:11" s="88" customFormat="1" ht="15" customHeight="1">
      <c r="A125" s="146"/>
      <c r="B125" s="119" t="s">
        <v>491</v>
      </c>
      <c r="C125" s="118"/>
      <c r="D125" s="118"/>
      <c r="E125" s="118"/>
      <c r="F125" s="118"/>
      <c r="G125" s="118">
        <v>12896</v>
      </c>
      <c r="H125" s="118"/>
      <c r="I125" s="183">
        <f t="shared" si="7"/>
        <v>12896</v>
      </c>
      <c r="J125" s="185"/>
      <c r="K125" s="53">
        <f t="shared" si="5"/>
        <v>12896</v>
      </c>
    </row>
    <row r="126" spans="1:11" s="88" customFormat="1" ht="15" customHeight="1">
      <c r="A126" s="146"/>
      <c r="B126" s="119" t="s">
        <v>492</v>
      </c>
      <c r="C126" s="118"/>
      <c r="D126" s="118"/>
      <c r="E126" s="118"/>
      <c r="F126" s="118"/>
      <c r="G126" s="118">
        <v>12896</v>
      </c>
      <c r="H126" s="118"/>
      <c r="I126" s="183">
        <f t="shared" si="7"/>
        <v>12896</v>
      </c>
      <c r="J126" s="185"/>
      <c r="K126" s="53">
        <f t="shared" si="5"/>
        <v>12896</v>
      </c>
    </row>
    <row r="127" spans="1:11" s="88" customFormat="1" ht="15" customHeight="1">
      <c r="A127" s="146"/>
      <c r="B127" s="119" t="s">
        <v>153</v>
      </c>
      <c r="C127" s="118"/>
      <c r="D127" s="118"/>
      <c r="E127" s="118"/>
      <c r="F127" s="118"/>
      <c r="G127" s="118">
        <v>12896</v>
      </c>
      <c r="H127" s="118"/>
      <c r="I127" s="183">
        <f t="shared" si="7"/>
        <v>12896</v>
      </c>
      <c r="J127" s="185"/>
      <c r="K127" s="53">
        <f t="shared" si="5"/>
        <v>12896</v>
      </c>
    </row>
    <row r="128" spans="1:11" s="88" customFormat="1" ht="15" customHeight="1">
      <c r="A128" s="146"/>
      <c r="B128" s="119" t="s">
        <v>493</v>
      </c>
      <c r="C128" s="118"/>
      <c r="D128" s="118"/>
      <c r="E128" s="118"/>
      <c r="F128" s="118"/>
      <c r="G128" s="118">
        <v>12896</v>
      </c>
      <c r="H128" s="118"/>
      <c r="I128" s="183">
        <f t="shared" si="7"/>
        <v>12896</v>
      </c>
      <c r="J128" s="185"/>
      <c r="K128" s="53">
        <f t="shared" si="5"/>
        <v>12896</v>
      </c>
    </row>
    <row r="129" spans="1:11" s="88" customFormat="1" ht="15" customHeight="1">
      <c r="A129" s="146"/>
      <c r="B129" s="119" t="s">
        <v>494</v>
      </c>
      <c r="C129" s="118"/>
      <c r="D129" s="118"/>
      <c r="E129" s="118"/>
      <c r="F129" s="118"/>
      <c r="G129" s="118">
        <v>12896</v>
      </c>
      <c r="H129" s="118"/>
      <c r="I129" s="183">
        <f t="shared" si="7"/>
        <v>12896</v>
      </c>
      <c r="J129" s="185"/>
      <c r="K129" s="53">
        <f t="shared" si="5"/>
        <v>12896</v>
      </c>
    </row>
    <row r="130" spans="1:11" ht="15" customHeight="1">
      <c r="A130" s="95"/>
      <c r="B130" s="116" t="s">
        <v>189</v>
      </c>
      <c r="C130" s="99"/>
      <c r="D130" s="99"/>
      <c r="E130" s="99"/>
      <c r="F130" s="99"/>
      <c r="G130" s="118">
        <v>19829</v>
      </c>
      <c r="H130" s="118"/>
      <c r="I130" s="183">
        <f t="shared" si="7"/>
        <v>19829</v>
      </c>
      <c r="J130" s="84"/>
      <c r="K130" s="53">
        <f t="shared" si="5"/>
        <v>19829</v>
      </c>
    </row>
    <row r="131" spans="1:11" ht="30" customHeight="1">
      <c r="A131" s="95" t="s">
        <v>495</v>
      </c>
      <c r="B131" s="94" t="s">
        <v>496</v>
      </c>
      <c r="C131" s="99"/>
      <c r="D131" s="99"/>
      <c r="E131" s="99"/>
      <c r="F131" s="99"/>
      <c r="G131" s="99">
        <v>632852</v>
      </c>
      <c r="H131" s="99"/>
      <c r="I131" s="182">
        <f t="shared" si="7"/>
        <v>632852</v>
      </c>
      <c r="J131" s="84"/>
      <c r="K131" s="53">
        <f t="shared" si="5"/>
        <v>632852</v>
      </c>
    </row>
    <row r="132" spans="1:11" ht="30" customHeight="1">
      <c r="A132" s="95"/>
      <c r="B132" s="219" t="s">
        <v>254</v>
      </c>
      <c r="C132" s="99"/>
      <c r="D132" s="99"/>
      <c r="E132" s="99"/>
      <c r="F132" s="99"/>
      <c r="G132" s="99">
        <v>46467</v>
      </c>
      <c r="H132" s="99"/>
      <c r="I132" s="182">
        <f t="shared" si="7"/>
        <v>46467</v>
      </c>
      <c r="J132" s="84"/>
      <c r="K132" s="53">
        <f t="shared" si="5"/>
        <v>46467</v>
      </c>
    </row>
    <row r="133" spans="1:11" ht="30" customHeight="1">
      <c r="A133" s="95"/>
      <c r="B133" s="220" t="s">
        <v>868</v>
      </c>
      <c r="C133" s="99"/>
      <c r="D133" s="99"/>
      <c r="E133" s="99"/>
      <c r="F133" s="99"/>
      <c r="G133" s="99">
        <v>40280</v>
      </c>
      <c r="H133" s="99"/>
      <c r="I133" s="182">
        <f t="shared" si="7"/>
        <v>40280</v>
      </c>
      <c r="J133" s="84"/>
      <c r="K133" s="53">
        <f>I133+J133</f>
        <v>40280</v>
      </c>
    </row>
    <row r="134" spans="1:11" ht="30" customHeight="1">
      <c r="A134" s="95" t="s">
        <v>772</v>
      </c>
      <c r="B134" s="219" t="s">
        <v>773</v>
      </c>
      <c r="C134" s="99"/>
      <c r="D134" s="99"/>
      <c r="E134" s="99"/>
      <c r="F134" s="99"/>
      <c r="G134" s="53">
        <v>60100</v>
      </c>
      <c r="H134" s="53"/>
      <c r="I134" s="182">
        <f t="shared" si="7"/>
        <v>60100</v>
      </c>
      <c r="J134" s="53">
        <f>H134</f>
        <v>0</v>
      </c>
      <c r="K134" s="53">
        <f t="shared" si="5"/>
        <v>60100</v>
      </c>
    </row>
    <row r="135" spans="1:11" ht="30" customHeight="1">
      <c r="A135" s="95" t="s">
        <v>823</v>
      </c>
      <c r="B135" s="219" t="s">
        <v>822</v>
      </c>
      <c r="C135" s="99"/>
      <c r="D135" s="99"/>
      <c r="E135" s="99"/>
      <c r="F135" s="99"/>
      <c r="G135" s="53">
        <v>109439</v>
      </c>
      <c r="H135" s="53"/>
      <c r="I135" s="182">
        <f t="shared" si="7"/>
        <v>109439</v>
      </c>
      <c r="J135" s="53">
        <f>H135</f>
        <v>0</v>
      </c>
      <c r="K135" s="53">
        <f>I135+J135</f>
        <v>109439</v>
      </c>
    </row>
    <row r="136" spans="1:11" ht="22.5" customHeight="1">
      <c r="A136" s="95" t="s">
        <v>497</v>
      </c>
      <c r="B136" s="71" t="s">
        <v>686</v>
      </c>
      <c r="C136" s="99"/>
      <c r="D136" s="99"/>
      <c r="E136" s="99"/>
      <c r="F136" s="99"/>
      <c r="G136" s="53">
        <v>34992</v>
      </c>
      <c r="H136" s="53"/>
      <c r="I136" s="210">
        <f t="shared" si="7"/>
        <v>34992</v>
      </c>
      <c r="J136" s="84"/>
      <c r="K136" s="53">
        <f t="shared" si="5"/>
        <v>34992</v>
      </c>
    </row>
    <row r="137" spans="1:11" ht="30" customHeight="1">
      <c r="A137" s="95" t="s">
        <v>498</v>
      </c>
      <c r="B137" s="71" t="s">
        <v>691</v>
      </c>
      <c r="C137" s="99"/>
      <c r="D137" s="99"/>
      <c r="E137" s="99"/>
      <c r="F137" s="99"/>
      <c r="G137" s="99">
        <f>2000+3846</f>
        <v>5846</v>
      </c>
      <c r="H137" s="99"/>
      <c r="I137" s="182">
        <f t="shared" si="7"/>
        <v>5846</v>
      </c>
      <c r="J137" s="53">
        <f>H137</f>
        <v>0</v>
      </c>
      <c r="K137" s="53">
        <f t="shared" si="5"/>
        <v>5846</v>
      </c>
    </row>
    <row r="138" spans="1:11" ht="30" customHeight="1">
      <c r="A138" s="95"/>
      <c r="B138" s="71" t="s">
        <v>873</v>
      </c>
      <c r="C138" s="99"/>
      <c r="D138" s="99"/>
      <c r="E138" s="99"/>
      <c r="F138" s="99"/>
      <c r="G138" s="99">
        <v>6301</v>
      </c>
      <c r="H138" s="99"/>
      <c r="I138" s="182">
        <f t="shared" si="7"/>
        <v>6301</v>
      </c>
      <c r="J138" s="53">
        <f>H138</f>
        <v>0</v>
      </c>
      <c r="K138" s="53">
        <f t="shared" si="5"/>
        <v>6301</v>
      </c>
    </row>
    <row r="139" spans="1:11" ht="34.5" customHeight="1">
      <c r="A139" s="95"/>
      <c r="B139" s="253" t="s">
        <v>893</v>
      </c>
      <c r="C139" s="99"/>
      <c r="D139" s="99"/>
      <c r="E139" s="99"/>
      <c r="F139" s="99"/>
      <c r="G139" s="99"/>
      <c r="H139" s="99">
        <v>3267</v>
      </c>
      <c r="I139" s="182"/>
      <c r="J139" s="53">
        <f>H139</f>
        <v>3267</v>
      </c>
      <c r="K139" s="53">
        <f t="shared" si="5"/>
        <v>3267</v>
      </c>
    </row>
    <row r="140" spans="1:11" ht="20.25" customHeight="1">
      <c r="A140" s="95" t="s">
        <v>498</v>
      </c>
      <c r="B140" s="106" t="s">
        <v>824</v>
      </c>
      <c r="C140" s="99"/>
      <c r="D140" s="99"/>
      <c r="E140" s="99"/>
      <c r="F140" s="99"/>
      <c r="G140" s="92">
        <v>18531</v>
      </c>
      <c r="H140" s="92"/>
      <c r="I140" s="182">
        <f t="shared" si="7"/>
        <v>18531</v>
      </c>
      <c r="J140" s="84"/>
      <c r="K140" s="53">
        <f t="shared" si="5"/>
        <v>18531</v>
      </c>
    </row>
    <row r="141" spans="1:11" s="86" customFormat="1" ht="21.75" customHeight="1">
      <c r="A141" s="95" t="s">
        <v>499</v>
      </c>
      <c r="B141" s="170" t="s">
        <v>500</v>
      </c>
      <c r="C141" s="99"/>
      <c r="D141" s="99"/>
      <c r="E141" s="99"/>
      <c r="F141" s="99"/>
      <c r="G141" s="99">
        <v>245193</v>
      </c>
      <c r="H141" s="99"/>
      <c r="I141" s="182">
        <f t="shared" si="7"/>
        <v>245193</v>
      </c>
      <c r="J141" s="84"/>
      <c r="K141" s="53">
        <f t="shared" si="5"/>
        <v>245193</v>
      </c>
    </row>
    <row r="142" spans="1:12" ht="69.75" customHeight="1">
      <c r="A142" s="96" t="s">
        <v>501</v>
      </c>
      <c r="B142" s="97" t="s">
        <v>502</v>
      </c>
      <c r="C142" s="98"/>
      <c r="D142" s="98"/>
      <c r="E142" s="98"/>
      <c r="F142" s="98"/>
      <c r="G142" s="98">
        <f>SUM(G143:G156)</f>
        <v>123453</v>
      </c>
      <c r="H142" s="98">
        <f>SUM(H143:H156)</f>
        <v>6709</v>
      </c>
      <c r="I142" s="181">
        <f>G142</f>
        <v>123453</v>
      </c>
      <c r="J142" s="181">
        <f t="shared" si="7"/>
        <v>6709</v>
      </c>
      <c r="K142" s="195">
        <f t="shared" si="5"/>
        <v>130162</v>
      </c>
      <c r="L142" s="100"/>
    </row>
    <row r="143" spans="1:11" ht="15" customHeight="1">
      <c r="A143" s="95" t="s">
        <v>503</v>
      </c>
      <c r="B143" s="170" t="s">
        <v>504</v>
      </c>
      <c r="C143" s="98"/>
      <c r="D143" s="98"/>
      <c r="E143" s="99"/>
      <c r="F143" s="99"/>
      <c r="G143" s="99">
        <v>20000</v>
      </c>
      <c r="H143" s="99"/>
      <c r="I143" s="182">
        <f t="shared" si="7"/>
        <v>20000</v>
      </c>
      <c r="J143" s="84"/>
      <c r="K143" s="53">
        <f t="shared" si="5"/>
        <v>20000</v>
      </c>
    </row>
    <row r="144" spans="1:11" ht="18" customHeight="1">
      <c r="A144" s="95" t="s">
        <v>505</v>
      </c>
      <c r="B144" s="114" t="s">
        <v>61</v>
      </c>
      <c r="C144" s="98"/>
      <c r="D144" s="98"/>
      <c r="E144" s="99"/>
      <c r="F144" s="99"/>
      <c r="G144" s="99">
        <v>9232</v>
      </c>
      <c r="H144" s="99"/>
      <c r="I144" s="182">
        <f t="shared" si="7"/>
        <v>9232</v>
      </c>
      <c r="J144" s="84"/>
      <c r="K144" s="53">
        <f t="shared" si="5"/>
        <v>9232</v>
      </c>
    </row>
    <row r="145" spans="1:11" ht="30" customHeight="1">
      <c r="A145" s="95"/>
      <c r="B145" s="170" t="s">
        <v>241</v>
      </c>
      <c r="C145" s="98"/>
      <c r="D145" s="98"/>
      <c r="E145" s="99"/>
      <c r="F145" s="99"/>
      <c r="G145" s="99">
        <v>23000</v>
      </c>
      <c r="H145" s="99"/>
      <c r="I145" s="182">
        <f t="shared" si="7"/>
        <v>23000</v>
      </c>
      <c r="J145" s="84"/>
      <c r="K145" s="53">
        <f t="shared" si="5"/>
        <v>23000</v>
      </c>
    </row>
    <row r="146" spans="1:11" ht="32.25" customHeight="1">
      <c r="A146" s="95"/>
      <c r="B146" s="170" t="s">
        <v>242</v>
      </c>
      <c r="C146" s="98"/>
      <c r="D146" s="98"/>
      <c r="E146" s="99"/>
      <c r="F146" s="99"/>
      <c r="G146" s="99"/>
      <c r="H146" s="99"/>
      <c r="I146" s="182">
        <f t="shared" si="7"/>
        <v>0</v>
      </c>
      <c r="J146" s="84"/>
      <c r="K146" s="53">
        <f t="shared" si="5"/>
        <v>0</v>
      </c>
    </row>
    <row r="147" spans="1:11" ht="40.5" customHeight="1">
      <c r="A147" s="95"/>
      <c r="B147" s="114" t="s">
        <v>778</v>
      </c>
      <c r="C147" s="98"/>
      <c r="D147" s="98"/>
      <c r="E147" s="99"/>
      <c r="F147" s="99"/>
      <c r="G147" s="99">
        <v>6386</v>
      </c>
      <c r="H147" s="99"/>
      <c r="I147" s="182">
        <f t="shared" si="7"/>
        <v>6386</v>
      </c>
      <c r="J147" s="84"/>
      <c r="K147" s="53">
        <f t="shared" si="5"/>
        <v>6386</v>
      </c>
    </row>
    <row r="148" spans="1:11" ht="49.5" customHeight="1">
      <c r="A148" s="95"/>
      <c r="B148" s="114" t="s">
        <v>774</v>
      </c>
      <c r="C148" s="98"/>
      <c r="D148" s="98"/>
      <c r="E148" s="99"/>
      <c r="F148" s="99"/>
      <c r="G148" s="99">
        <v>1000</v>
      </c>
      <c r="H148" s="99"/>
      <c r="I148" s="182">
        <f t="shared" si="7"/>
        <v>1000</v>
      </c>
      <c r="J148" s="84"/>
      <c r="K148" s="53">
        <f t="shared" si="5"/>
        <v>1000</v>
      </c>
    </row>
    <row r="149" spans="1:11" ht="38.25" customHeight="1">
      <c r="A149" s="95"/>
      <c r="B149" s="72" t="s">
        <v>755</v>
      </c>
      <c r="C149" s="98"/>
      <c r="D149" s="98"/>
      <c r="E149" s="99"/>
      <c r="F149" s="99"/>
      <c r="G149" s="99">
        <v>8000</v>
      </c>
      <c r="H149" s="99"/>
      <c r="I149" s="182">
        <f t="shared" si="7"/>
        <v>8000</v>
      </c>
      <c r="J149" s="84"/>
      <c r="K149" s="53">
        <f t="shared" si="5"/>
        <v>8000</v>
      </c>
    </row>
    <row r="150" spans="1:11" ht="38.25" customHeight="1">
      <c r="A150" s="95"/>
      <c r="B150" s="72" t="s">
        <v>865</v>
      </c>
      <c r="C150" s="98"/>
      <c r="D150" s="98"/>
      <c r="E150" s="99"/>
      <c r="F150" s="99"/>
      <c r="G150" s="99">
        <v>3500</v>
      </c>
      <c r="H150" s="99"/>
      <c r="I150" s="182">
        <f t="shared" si="7"/>
        <v>3500</v>
      </c>
      <c r="J150" s="53">
        <f>H150</f>
        <v>0</v>
      </c>
      <c r="K150" s="53">
        <f t="shared" si="5"/>
        <v>3500</v>
      </c>
    </row>
    <row r="151" spans="1:11" ht="38.25" customHeight="1">
      <c r="A151" s="95"/>
      <c r="B151" s="72" t="s">
        <v>864</v>
      </c>
      <c r="C151" s="98"/>
      <c r="D151" s="98"/>
      <c r="E151" s="99"/>
      <c r="F151" s="99"/>
      <c r="G151" s="99">
        <v>36004</v>
      </c>
      <c r="H151" s="99"/>
      <c r="I151" s="182">
        <f t="shared" si="7"/>
        <v>36004</v>
      </c>
      <c r="J151" s="53">
        <f>H151</f>
        <v>0</v>
      </c>
      <c r="K151" s="53">
        <f t="shared" si="5"/>
        <v>36004</v>
      </c>
    </row>
    <row r="152" spans="1:11" ht="38.25" customHeight="1">
      <c r="A152" s="95"/>
      <c r="B152" s="72" t="s">
        <v>857</v>
      </c>
      <c r="C152" s="98"/>
      <c r="D152" s="98"/>
      <c r="E152" s="99"/>
      <c r="F152" s="99"/>
      <c r="G152" s="99">
        <v>6492</v>
      </c>
      <c r="H152" s="99"/>
      <c r="I152" s="182">
        <f t="shared" si="7"/>
        <v>6492</v>
      </c>
      <c r="J152" s="53">
        <f>H152</f>
        <v>0</v>
      </c>
      <c r="K152" s="53">
        <f t="shared" si="5"/>
        <v>6492</v>
      </c>
    </row>
    <row r="153" spans="1:11" ht="36" customHeight="1">
      <c r="A153" s="95"/>
      <c r="B153" s="72" t="s">
        <v>753</v>
      </c>
      <c r="C153" s="98"/>
      <c r="D153" s="98"/>
      <c r="E153" s="99"/>
      <c r="F153" s="99"/>
      <c r="G153" s="99">
        <v>7079</v>
      </c>
      <c r="H153" s="99"/>
      <c r="I153" s="182">
        <f t="shared" si="7"/>
        <v>7079</v>
      </c>
      <c r="J153" s="84"/>
      <c r="K153" s="53">
        <f t="shared" si="5"/>
        <v>7079</v>
      </c>
    </row>
    <row r="154" spans="1:11" ht="43.15" customHeight="1">
      <c r="A154" s="95" t="s">
        <v>892</v>
      </c>
      <c r="B154" s="169" t="s">
        <v>891</v>
      </c>
      <c r="C154" s="98"/>
      <c r="D154" s="98"/>
      <c r="E154" s="99"/>
      <c r="F154" s="99"/>
      <c r="G154" s="99"/>
      <c r="H154" s="99">
        <v>5631</v>
      </c>
      <c r="I154" s="182"/>
      <c r="J154" s="53">
        <f>H154</f>
        <v>5631</v>
      </c>
      <c r="K154" s="53">
        <f t="shared" si="5"/>
        <v>5631</v>
      </c>
    </row>
    <row r="155" spans="1:11" ht="51" customHeight="1">
      <c r="A155" s="95" t="s">
        <v>882</v>
      </c>
      <c r="B155" s="94" t="s">
        <v>881</v>
      </c>
      <c r="C155" s="98"/>
      <c r="D155" s="98"/>
      <c r="E155" s="99"/>
      <c r="F155" s="99"/>
      <c r="G155" s="99"/>
      <c r="H155" s="99">
        <v>1078</v>
      </c>
      <c r="I155" s="182"/>
      <c r="J155" s="53">
        <f>H155</f>
        <v>1078</v>
      </c>
      <c r="K155" s="53">
        <f t="shared" si="5"/>
        <v>1078</v>
      </c>
    </row>
    <row r="156" spans="1:11" ht="33.75" customHeight="1">
      <c r="A156" s="95" t="s">
        <v>506</v>
      </c>
      <c r="B156" s="170" t="s">
        <v>507</v>
      </c>
      <c r="C156" s="98"/>
      <c r="D156" s="98"/>
      <c r="E156" s="99"/>
      <c r="F156" s="99"/>
      <c r="G156" s="99">
        <v>2760</v>
      </c>
      <c r="H156" s="99"/>
      <c r="I156" s="182">
        <f t="shared" si="7"/>
        <v>2760</v>
      </c>
      <c r="J156" s="186"/>
      <c r="K156" s="53">
        <f t="shared" si="5"/>
        <v>2760</v>
      </c>
    </row>
    <row r="157" spans="1:11" s="86" customFormat="1" ht="33.75" customHeight="1">
      <c r="A157" s="96" t="s">
        <v>508</v>
      </c>
      <c r="B157" s="97" t="s">
        <v>509</v>
      </c>
      <c r="C157" s="98"/>
      <c r="D157" s="98"/>
      <c r="E157" s="98"/>
      <c r="F157" s="98"/>
      <c r="G157" s="98">
        <v>6066083</v>
      </c>
      <c r="H157" s="98"/>
      <c r="I157" s="181">
        <f t="shared" si="7"/>
        <v>6066083</v>
      </c>
      <c r="J157" s="83"/>
      <c r="K157" s="195">
        <f t="shared" si="5"/>
        <v>6066083</v>
      </c>
    </row>
    <row r="158" spans="1:11" s="86" customFormat="1" ht="35.25" customHeight="1">
      <c r="A158" s="96" t="s">
        <v>748</v>
      </c>
      <c r="B158" s="171" t="s">
        <v>749</v>
      </c>
      <c r="C158" s="98"/>
      <c r="D158" s="98"/>
      <c r="E158" s="98"/>
      <c r="F158" s="98"/>
      <c r="G158" s="98">
        <v>366546</v>
      </c>
      <c r="H158" s="98"/>
      <c r="I158" s="181">
        <f t="shared" si="7"/>
        <v>366546</v>
      </c>
      <c r="J158" s="187"/>
      <c r="K158" s="195">
        <f t="shared" si="5"/>
        <v>366546</v>
      </c>
    </row>
    <row r="159" spans="1:11" ht="30.75" customHeight="1">
      <c r="A159" s="96" t="s">
        <v>699</v>
      </c>
      <c r="B159" s="97" t="s">
        <v>698</v>
      </c>
      <c r="C159" s="98"/>
      <c r="D159" s="98"/>
      <c r="E159" s="98">
        <f>E160</f>
        <v>115000</v>
      </c>
      <c r="F159" s="98">
        <f>F160+F161</f>
        <v>1000</v>
      </c>
      <c r="G159" s="98"/>
      <c r="H159" s="98">
        <f>H161</f>
        <v>0</v>
      </c>
      <c r="I159" s="181">
        <f>C159+E159+G159</f>
        <v>115000</v>
      </c>
      <c r="J159" s="128">
        <f>J161</f>
        <v>1000</v>
      </c>
      <c r="K159" s="195">
        <f>I159+J159</f>
        <v>116000</v>
      </c>
    </row>
    <row r="160" spans="1:11" ht="15" customHeight="1">
      <c r="A160" s="95" t="s">
        <v>700</v>
      </c>
      <c r="B160" s="94" t="s">
        <v>701</v>
      </c>
      <c r="C160" s="99"/>
      <c r="D160" s="99"/>
      <c r="E160" s="99">
        <v>115000</v>
      </c>
      <c r="F160" s="99"/>
      <c r="G160" s="99"/>
      <c r="H160" s="99"/>
      <c r="I160" s="182">
        <f>C160+E160+G160</f>
        <v>115000</v>
      </c>
      <c r="J160" s="116"/>
      <c r="K160" s="53">
        <f t="shared" si="5"/>
        <v>115000</v>
      </c>
    </row>
    <row r="161" spans="1:11" ht="15" customHeight="1">
      <c r="A161" s="95" t="s">
        <v>888</v>
      </c>
      <c r="B161" s="94" t="s">
        <v>889</v>
      </c>
      <c r="C161" s="99"/>
      <c r="D161" s="99"/>
      <c r="E161" s="99"/>
      <c r="F161" s="99">
        <v>1000</v>
      </c>
      <c r="G161" s="99"/>
      <c r="H161" s="99"/>
      <c r="I161" s="182">
        <v>0</v>
      </c>
      <c r="J161" s="92">
        <f>F161</f>
        <v>1000</v>
      </c>
      <c r="K161" s="53">
        <f>I161+J161</f>
        <v>1000</v>
      </c>
    </row>
    <row r="162" spans="1:12" ht="30" customHeight="1">
      <c r="A162" s="147" t="s">
        <v>828</v>
      </c>
      <c r="B162" s="96" t="s">
        <v>511</v>
      </c>
      <c r="C162" s="98"/>
      <c r="D162" s="98"/>
      <c r="E162" s="98">
        <f>E165+E451+E163</f>
        <v>5208810</v>
      </c>
      <c r="F162" s="98">
        <f>F165+F451+F163</f>
        <v>117157</v>
      </c>
      <c r="G162" s="98">
        <f>G165+G451+G163</f>
        <v>0</v>
      </c>
      <c r="H162" s="98">
        <f>H165+H451+H163</f>
        <v>0</v>
      </c>
      <c r="I162" s="181">
        <f>E162</f>
        <v>5208810</v>
      </c>
      <c r="J162" s="181">
        <f>F162</f>
        <v>117157</v>
      </c>
      <c r="K162" s="195">
        <f>I162+J162</f>
        <v>5325967</v>
      </c>
      <c r="L162" s="100"/>
    </row>
    <row r="163" spans="1:12" ht="30" customHeight="1">
      <c r="A163" s="147" t="s">
        <v>829</v>
      </c>
      <c r="B163" s="96" t="s">
        <v>830</v>
      </c>
      <c r="C163" s="98"/>
      <c r="D163" s="98"/>
      <c r="E163" s="98">
        <f>E164</f>
        <v>169672</v>
      </c>
      <c r="F163" s="98">
        <f>F164</f>
        <v>0</v>
      </c>
      <c r="G163" s="99"/>
      <c r="H163" s="99"/>
      <c r="I163" s="181">
        <f>I164</f>
        <v>169672</v>
      </c>
      <c r="J163" s="116"/>
      <c r="K163" s="195">
        <f t="shared" si="5"/>
        <v>169672</v>
      </c>
      <c r="L163" s="100"/>
    </row>
    <row r="164" spans="1:11" ht="81" customHeight="1">
      <c r="A164" s="147" t="s">
        <v>831</v>
      </c>
      <c r="B164" s="97" t="s">
        <v>832</v>
      </c>
      <c r="C164" s="98"/>
      <c r="D164" s="98"/>
      <c r="E164" s="98">
        <v>169672</v>
      </c>
      <c r="F164" s="98"/>
      <c r="G164" s="99"/>
      <c r="H164" s="99"/>
      <c r="I164" s="181">
        <f>E164</f>
        <v>169672</v>
      </c>
      <c r="J164" s="116"/>
      <c r="K164" s="195">
        <f t="shared" si="5"/>
        <v>169672</v>
      </c>
    </row>
    <row r="165" spans="1:11" s="86" customFormat="1" ht="31.5" customHeight="1">
      <c r="A165" s="96" t="s">
        <v>512</v>
      </c>
      <c r="B165" s="97" t="s">
        <v>513</v>
      </c>
      <c r="C165" s="98"/>
      <c r="D165" s="98"/>
      <c r="E165" s="98">
        <f>E166+E187+E190+E266</f>
        <v>4955138</v>
      </c>
      <c r="F165" s="98">
        <f>F166+F187+F190+F266</f>
        <v>19344</v>
      </c>
      <c r="G165" s="99"/>
      <c r="H165" s="98">
        <f>H166+H187+H190+H266</f>
        <v>0</v>
      </c>
      <c r="I165" s="181">
        <f t="shared" si="10" ref="I165:J192">E165</f>
        <v>4955138</v>
      </c>
      <c r="J165" s="181">
        <f t="shared" si="10"/>
        <v>19344</v>
      </c>
      <c r="K165" s="195">
        <f t="shared" si="11" ref="K165:K228">I165+J165</f>
        <v>4974482</v>
      </c>
    </row>
    <row r="166" spans="1:11" s="86" customFormat="1" ht="15" customHeight="1">
      <c r="A166" s="96" t="s">
        <v>514</v>
      </c>
      <c r="B166" s="96" t="s">
        <v>515</v>
      </c>
      <c r="C166" s="98"/>
      <c r="D166" s="98"/>
      <c r="E166" s="98">
        <f>E167+E172</f>
        <v>134214</v>
      </c>
      <c r="F166" s="98"/>
      <c r="G166" s="98"/>
      <c r="H166" s="98"/>
      <c r="I166" s="181">
        <f t="shared" si="10"/>
        <v>134214</v>
      </c>
      <c r="J166" s="187"/>
      <c r="K166" s="195">
        <f t="shared" si="11"/>
        <v>134214</v>
      </c>
    </row>
    <row r="167" spans="1:11" ht="15" customHeight="1">
      <c r="A167" s="96" t="s">
        <v>516</v>
      </c>
      <c r="B167" s="96" t="s">
        <v>517</v>
      </c>
      <c r="C167" s="98"/>
      <c r="D167" s="98"/>
      <c r="E167" s="98">
        <f>SUM(E168:E171)</f>
        <v>23104</v>
      </c>
      <c r="F167" s="98"/>
      <c r="G167" s="98"/>
      <c r="H167" s="98"/>
      <c r="I167" s="181">
        <f>E167</f>
        <v>23104</v>
      </c>
      <c r="J167" s="83"/>
      <c r="K167" s="195">
        <f t="shared" si="11"/>
        <v>23104</v>
      </c>
    </row>
    <row r="168" spans="1:11" ht="15" customHeight="1">
      <c r="A168" s="95"/>
      <c r="B168" s="116" t="s">
        <v>518</v>
      </c>
      <c r="C168" s="99"/>
      <c r="D168" s="99"/>
      <c r="E168" s="99">
        <v>8020</v>
      </c>
      <c r="F168" s="99"/>
      <c r="G168" s="99"/>
      <c r="H168" s="99"/>
      <c r="I168" s="182">
        <f t="shared" si="10"/>
        <v>8020</v>
      </c>
      <c r="J168" s="84"/>
      <c r="K168" s="53">
        <f t="shared" si="11"/>
        <v>8020</v>
      </c>
    </row>
    <row r="169" spans="1:11" ht="15" customHeight="1">
      <c r="A169" s="95"/>
      <c r="B169" s="116" t="s">
        <v>519</v>
      </c>
      <c r="C169" s="99"/>
      <c r="D169" s="99"/>
      <c r="E169" s="99">
        <v>9234</v>
      </c>
      <c r="F169" s="99"/>
      <c r="G169" s="99"/>
      <c r="H169" s="99"/>
      <c r="I169" s="182">
        <f t="shared" si="10"/>
        <v>9234</v>
      </c>
      <c r="J169" s="84"/>
      <c r="K169" s="53">
        <f t="shared" si="11"/>
        <v>9234</v>
      </c>
    </row>
    <row r="170" spans="1:11" ht="15" customHeight="1">
      <c r="A170" s="95"/>
      <c r="B170" s="116" t="s">
        <v>520</v>
      </c>
      <c r="C170" s="99"/>
      <c r="D170" s="99"/>
      <c r="E170" s="99">
        <v>1750</v>
      </c>
      <c r="F170" s="99"/>
      <c r="G170" s="99"/>
      <c r="H170" s="99"/>
      <c r="I170" s="182">
        <f t="shared" si="10"/>
        <v>1750</v>
      </c>
      <c r="J170" s="84"/>
      <c r="K170" s="53">
        <f t="shared" si="11"/>
        <v>1750</v>
      </c>
    </row>
    <row r="171" spans="1:11" ht="15" customHeight="1">
      <c r="A171" s="95"/>
      <c r="B171" s="116" t="s">
        <v>539</v>
      </c>
      <c r="C171" s="99"/>
      <c r="D171" s="99"/>
      <c r="E171" s="99">
        <v>4100</v>
      </c>
      <c r="F171" s="99"/>
      <c r="G171" s="99"/>
      <c r="H171" s="99"/>
      <c r="I171" s="182">
        <f t="shared" si="10"/>
        <v>4100</v>
      </c>
      <c r="J171" s="84"/>
      <c r="K171" s="53">
        <f t="shared" si="11"/>
        <v>4100</v>
      </c>
    </row>
    <row r="172" spans="1:11" ht="15" customHeight="1">
      <c r="A172" s="96" t="s">
        <v>521</v>
      </c>
      <c r="B172" s="96" t="s">
        <v>522</v>
      </c>
      <c r="C172" s="98"/>
      <c r="D172" s="98"/>
      <c r="E172" s="98">
        <f>SUM(E173:E186)</f>
        <v>111110</v>
      </c>
      <c r="F172" s="98"/>
      <c r="G172" s="98"/>
      <c r="H172" s="98"/>
      <c r="I172" s="181">
        <f t="shared" si="10"/>
        <v>111110</v>
      </c>
      <c r="J172" s="83"/>
      <c r="K172" s="195">
        <f t="shared" si="11"/>
        <v>111110</v>
      </c>
    </row>
    <row r="173" spans="1:11" ht="15" customHeight="1">
      <c r="A173" s="95"/>
      <c r="B173" s="116" t="s">
        <v>43</v>
      </c>
      <c r="C173" s="99"/>
      <c r="D173" s="99"/>
      <c r="E173" s="99">
        <v>39000</v>
      </c>
      <c r="F173" s="99"/>
      <c r="G173" s="99"/>
      <c r="H173" s="99"/>
      <c r="I173" s="182">
        <f t="shared" si="10"/>
        <v>39000</v>
      </c>
      <c r="J173" s="84"/>
      <c r="K173" s="53">
        <f t="shared" si="11"/>
        <v>39000</v>
      </c>
    </row>
    <row r="174" spans="1:11" ht="15" customHeight="1">
      <c r="A174" s="95"/>
      <c r="B174" s="116" t="s">
        <v>44</v>
      </c>
      <c r="C174" s="99"/>
      <c r="D174" s="99"/>
      <c r="E174" s="99">
        <v>22000</v>
      </c>
      <c r="F174" s="99"/>
      <c r="G174" s="99"/>
      <c r="H174" s="99"/>
      <c r="I174" s="182">
        <f t="shared" si="10"/>
        <v>22000</v>
      </c>
      <c r="J174" s="84"/>
      <c r="K174" s="53">
        <f t="shared" si="11"/>
        <v>22000</v>
      </c>
    </row>
    <row r="175" spans="1:11" ht="15" customHeight="1">
      <c r="A175" s="95"/>
      <c r="B175" s="116" t="s">
        <v>695</v>
      </c>
      <c r="C175" s="99"/>
      <c r="D175" s="99"/>
      <c r="E175" s="99">
        <v>12551</v>
      </c>
      <c r="F175" s="99"/>
      <c r="G175" s="99"/>
      <c r="H175" s="99"/>
      <c r="I175" s="182">
        <f t="shared" si="10"/>
        <v>12551</v>
      </c>
      <c r="J175" s="84"/>
      <c r="K175" s="53">
        <f t="shared" si="11"/>
        <v>12551</v>
      </c>
    </row>
    <row r="176" spans="1:11" ht="15" customHeight="1">
      <c r="A176" s="95"/>
      <c r="B176" s="116" t="s">
        <v>45</v>
      </c>
      <c r="C176" s="99"/>
      <c r="D176" s="99"/>
      <c r="E176" s="99">
        <v>2500</v>
      </c>
      <c r="F176" s="99"/>
      <c r="G176" s="99"/>
      <c r="H176" s="99"/>
      <c r="I176" s="182">
        <f t="shared" si="10"/>
        <v>2500</v>
      </c>
      <c r="J176" s="84"/>
      <c r="K176" s="53">
        <f t="shared" si="11"/>
        <v>2500</v>
      </c>
    </row>
    <row r="177" spans="1:11" ht="15" customHeight="1">
      <c r="A177" s="95"/>
      <c r="B177" s="116" t="s">
        <v>525</v>
      </c>
      <c r="C177" s="99"/>
      <c r="D177" s="99"/>
      <c r="E177" s="99">
        <v>2500</v>
      </c>
      <c r="F177" s="99"/>
      <c r="G177" s="99"/>
      <c r="H177" s="99"/>
      <c r="I177" s="182">
        <f t="shared" si="10"/>
        <v>2500</v>
      </c>
      <c r="J177" s="84"/>
      <c r="K177" s="53">
        <f t="shared" si="11"/>
        <v>2500</v>
      </c>
    </row>
    <row r="178" spans="1:11" ht="15" customHeight="1">
      <c r="A178" s="95"/>
      <c r="B178" s="116" t="s">
        <v>734</v>
      </c>
      <c r="C178" s="99"/>
      <c r="D178" s="99"/>
      <c r="E178" s="99">
        <v>6100</v>
      </c>
      <c r="F178" s="99"/>
      <c r="G178" s="99"/>
      <c r="H178" s="99"/>
      <c r="I178" s="182">
        <f t="shared" si="10"/>
        <v>6100</v>
      </c>
      <c r="J178" s="84"/>
      <c r="K178" s="53">
        <f t="shared" si="11"/>
        <v>6100</v>
      </c>
    </row>
    <row r="179" spans="1:11" ht="15" customHeight="1">
      <c r="A179" s="95"/>
      <c r="B179" s="116" t="s">
        <v>735</v>
      </c>
      <c r="C179" s="99"/>
      <c r="D179" s="99"/>
      <c r="E179" s="99">
        <v>2819</v>
      </c>
      <c r="F179" s="99"/>
      <c r="G179" s="99"/>
      <c r="H179" s="99"/>
      <c r="I179" s="182">
        <f t="shared" si="10"/>
        <v>2819</v>
      </c>
      <c r="J179" s="84"/>
      <c r="K179" s="53">
        <f t="shared" si="11"/>
        <v>2819</v>
      </c>
    </row>
    <row r="180" spans="1:11" ht="15" customHeight="1">
      <c r="A180" s="95"/>
      <c r="B180" s="116" t="s">
        <v>524</v>
      </c>
      <c r="C180" s="99"/>
      <c r="D180" s="99"/>
      <c r="E180" s="99">
        <v>7000</v>
      </c>
      <c r="F180" s="99"/>
      <c r="G180" s="99"/>
      <c r="H180" s="99"/>
      <c r="I180" s="182">
        <f t="shared" si="10"/>
        <v>7000</v>
      </c>
      <c r="J180" s="84"/>
      <c r="K180" s="53">
        <f t="shared" si="11"/>
        <v>7000</v>
      </c>
    </row>
    <row r="181" spans="1:11" ht="15" customHeight="1">
      <c r="A181" s="95"/>
      <c r="B181" s="116" t="s">
        <v>523</v>
      </c>
      <c r="C181" s="99"/>
      <c r="D181" s="99"/>
      <c r="E181" s="99">
        <v>3850</v>
      </c>
      <c r="F181" s="99"/>
      <c r="G181" s="99"/>
      <c r="H181" s="99"/>
      <c r="I181" s="182">
        <f t="shared" si="10"/>
        <v>3850</v>
      </c>
      <c r="J181" s="84"/>
      <c r="K181" s="53">
        <f t="shared" si="11"/>
        <v>3850</v>
      </c>
    </row>
    <row r="182" spans="1:11" ht="15" customHeight="1">
      <c r="A182" s="95"/>
      <c r="B182" s="116" t="s">
        <v>710</v>
      </c>
      <c r="C182" s="99"/>
      <c r="D182" s="99"/>
      <c r="E182" s="99">
        <v>4100</v>
      </c>
      <c r="F182" s="99"/>
      <c r="G182" s="99"/>
      <c r="H182" s="99"/>
      <c r="I182" s="182">
        <f t="shared" si="10"/>
        <v>4100</v>
      </c>
      <c r="J182" s="84"/>
      <c r="K182" s="53">
        <f t="shared" si="11"/>
        <v>4100</v>
      </c>
    </row>
    <row r="183" spans="1:11" ht="15" customHeight="1">
      <c r="A183" s="95"/>
      <c r="B183" s="116" t="s">
        <v>756</v>
      </c>
      <c r="C183" s="99"/>
      <c r="D183" s="99"/>
      <c r="E183" s="99">
        <v>1000</v>
      </c>
      <c r="F183" s="99"/>
      <c r="G183" s="99"/>
      <c r="H183" s="99"/>
      <c r="I183" s="182">
        <f t="shared" si="10"/>
        <v>1000</v>
      </c>
      <c r="J183" s="188"/>
      <c r="K183" s="53">
        <f t="shared" si="11"/>
        <v>1000</v>
      </c>
    </row>
    <row r="184" spans="1:11" ht="15" customHeight="1">
      <c r="A184" s="95"/>
      <c r="B184" s="116" t="s">
        <v>757</v>
      </c>
      <c r="C184" s="99"/>
      <c r="D184" s="99"/>
      <c r="E184" s="99">
        <v>4880</v>
      </c>
      <c r="F184" s="99"/>
      <c r="G184" s="99"/>
      <c r="H184" s="99"/>
      <c r="I184" s="182">
        <f t="shared" si="10"/>
        <v>4880</v>
      </c>
      <c r="J184" s="188"/>
      <c r="K184" s="53">
        <f t="shared" si="11"/>
        <v>4880</v>
      </c>
    </row>
    <row r="185" spans="1:11" ht="15" customHeight="1">
      <c r="A185" s="95"/>
      <c r="B185" s="116" t="s">
        <v>764</v>
      </c>
      <c r="C185" s="99"/>
      <c r="D185" s="99"/>
      <c r="E185" s="99">
        <v>1660</v>
      </c>
      <c r="F185" s="99"/>
      <c r="G185" s="99"/>
      <c r="H185" s="99"/>
      <c r="I185" s="182">
        <f t="shared" si="10"/>
        <v>1660</v>
      </c>
      <c r="J185" s="188"/>
      <c r="K185" s="53">
        <f t="shared" si="11"/>
        <v>1660</v>
      </c>
    </row>
    <row r="186" spans="1:11" s="86" customFormat="1" ht="15" customHeight="1">
      <c r="A186" s="95"/>
      <c r="B186" s="116" t="s">
        <v>711</v>
      </c>
      <c r="C186" s="99"/>
      <c r="D186" s="99"/>
      <c r="E186" s="99">
        <v>1150</v>
      </c>
      <c r="F186" s="99"/>
      <c r="G186" s="99"/>
      <c r="H186" s="99"/>
      <c r="I186" s="182">
        <f t="shared" si="10"/>
        <v>1150</v>
      </c>
      <c r="J186" s="84"/>
      <c r="K186" s="195">
        <f t="shared" si="11"/>
        <v>1150</v>
      </c>
    </row>
    <row r="187" spans="1:11" s="86" customFormat="1" ht="30" customHeight="1">
      <c r="A187" s="96" t="s">
        <v>526</v>
      </c>
      <c r="B187" s="97" t="s">
        <v>527</v>
      </c>
      <c r="C187" s="98"/>
      <c r="D187" s="98"/>
      <c r="E187" s="98">
        <f>E188</f>
        <v>1340</v>
      </c>
      <c r="F187" s="98"/>
      <c r="G187" s="98"/>
      <c r="H187" s="98"/>
      <c r="I187" s="181">
        <f t="shared" si="10"/>
        <v>1340</v>
      </c>
      <c r="J187" s="83"/>
      <c r="K187" s="195">
        <f t="shared" si="11"/>
        <v>1340</v>
      </c>
    </row>
    <row r="188" spans="1:11" ht="31.5" customHeight="1">
      <c r="A188" s="96" t="s">
        <v>528</v>
      </c>
      <c r="B188" s="97" t="s">
        <v>529</v>
      </c>
      <c r="C188" s="98"/>
      <c r="D188" s="98"/>
      <c r="E188" s="98">
        <f>SUM(E189:E189)</f>
        <v>1340</v>
      </c>
      <c r="F188" s="98"/>
      <c r="G188" s="98"/>
      <c r="H188" s="98"/>
      <c r="I188" s="181">
        <f t="shared" si="10"/>
        <v>1340</v>
      </c>
      <c r="J188" s="83"/>
      <c r="K188" s="195">
        <f t="shared" si="11"/>
        <v>1340</v>
      </c>
    </row>
    <row r="189" spans="1:11" s="86" customFormat="1" ht="15" customHeight="1">
      <c r="A189" s="95"/>
      <c r="B189" s="114" t="s">
        <v>15</v>
      </c>
      <c r="C189" s="99"/>
      <c r="D189" s="99"/>
      <c r="E189" s="99">
        <v>1340</v>
      </c>
      <c r="F189" s="99"/>
      <c r="G189" s="99"/>
      <c r="H189" s="99"/>
      <c r="I189" s="182">
        <f t="shared" si="10"/>
        <v>1340</v>
      </c>
      <c r="J189" s="84"/>
      <c r="K189" s="53">
        <f t="shared" si="11"/>
        <v>1340</v>
      </c>
    </row>
    <row r="190" spans="1:11" s="86" customFormat="1" ht="25.5" customHeight="1">
      <c r="A190" s="96" t="s">
        <v>530</v>
      </c>
      <c r="B190" s="96" t="s">
        <v>531</v>
      </c>
      <c r="C190" s="98"/>
      <c r="D190" s="98"/>
      <c r="E190" s="98">
        <f>E191+E238+E244+E245</f>
        <v>582781</v>
      </c>
      <c r="F190" s="98">
        <f>F191+F238+F244+F245</f>
        <v>2929</v>
      </c>
      <c r="G190" s="98"/>
      <c r="H190" s="98"/>
      <c r="I190" s="181">
        <f t="shared" si="10"/>
        <v>582781</v>
      </c>
      <c r="J190" s="181">
        <f t="shared" si="10"/>
        <v>2929</v>
      </c>
      <c r="K190" s="195">
        <f t="shared" si="11"/>
        <v>585710</v>
      </c>
    </row>
    <row r="191" spans="1:11" ht="28.5" customHeight="1">
      <c r="A191" s="96" t="s">
        <v>532</v>
      </c>
      <c r="B191" s="97" t="s">
        <v>697</v>
      </c>
      <c r="C191" s="98"/>
      <c r="D191" s="98"/>
      <c r="E191" s="98">
        <f>SUM(E192:E237)</f>
        <v>170238</v>
      </c>
      <c r="F191" s="98">
        <f>SUM(F192:F237)</f>
        <v>2929</v>
      </c>
      <c r="G191" s="98"/>
      <c r="H191" s="98"/>
      <c r="I191" s="181">
        <f t="shared" si="10"/>
        <v>170238</v>
      </c>
      <c r="J191" s="181">
        <f t="shared" si="10"/>
        <v>2929</v>
      </c>
      <c r="K191" s="195">
        <f t="shared" si="11"/>
        <v>173167</v>
      </c>
    </row>
    <row r="192" spans="1:11" ht="15" customHeight="1">
      <c r="A192" s="95"/>
      <c r="B192" s="95" t="s">
        <v>533</v>
      </c>
      <c r="C192" s="99"/>
      <c r="D192" s="99"/>
      <c r="E192" s="99">
        <f>91840+6124</f>
        <v>97964</v>
      </c>
      <c r="F192" s="99"/>
      <c r="G192" s="99"/>
      <c r="H192" s="99"/>
      <c r="I192" s="182">
        <f t="shared" si="10"/>
        <v>97964</v>
      </c>
      <c r="J192" s="84"/>
      <c r="K192" s="53">
        <f t="shared" si="11"/>
        <v>97964</v>
      </c>
    </row>
    <row r="193" spans="1:11" ht="15" customHeight="1">
      <c r="A193" s="95"/>
      <c r="B193" s="95" t="s">
        <v>837</v>
      </c>
      <c r="C193" s="99"/>
      <c r="D193" s="99"/>
      <c r="E193" s="99">
        <v>3179</v>
      </c>
      <c r="F193" s="99"/>
      <c r="G193" s="99"/>
      <c r="H193" s="99"/>
      <c r="I193" s="182"/>
      <c r="J193" s="84"/>
      <c r="K193" s="53">
        <f t="shared" si="11"/>
        <v>0</v>
      </c>
    </row>
    <row r="194" spans="1:11" ht="15" customHeight="1">
      <c r="A194" s="95"/>
      <c r="B194" s="116" t="s">
        <v>781</v>
      </c>
      <c r="C194" s="99"/>
      <c r="D194" s="99"/>
      <c r="E194" s="99">
        <v>305</v>
      </c>
      <c r="F194" s="99"/>
      <c r="G194" s="99"/>
      <c r="H194" s="99"/>
      <c r="I194" s="182">
        <f t="shared" si="12" ref="I194:I225">E194</f>
        <v>305</v>
      </c>
      <c r="J194" s="84"/>
      <c r="K194" s="53">
        <f t="shared" si="11"/>
        <v>305</v>
      </c>
    </row>
    <row r="195" spans="1:11" ht="15" customHeight="1">
      <c r="A195" s="95"/>
      <c r="B195" s="116" t="s">
        <v>5</v>
      </c>
      <c r="C195" s="99"/>
      <c r="D195" s="99"/>
      <c r="E195" s="99">
        <v>430</v>
      </c>
      <c r="F195" s="99"/>
      <c r="G195" s="99"/>
      <c r="H195" s="99"/>
      <c r="I195" s="182">
        <f t="shared" si="12"/>
        <v>430</v>
      </c>
      <c r="J195" s="84"/>
      <c r="K195" s="53">
        <f t="shared" si="11"/>
        <v>430</v>
      </c>
    </row>
    <row r="196" spans="1:11" ht="21.75" customHeight="1">
      <c r="A196" s="95"/>
      <c r="B196" s="117" t="s">
        <v>93</v>
      </c>
      <c r="C196" s="99"/>
      <c r="D196" s="99"/>
      <c r="E196" s="92">
        <v>430</v>
      </c>
      <c r="F196" s="92"/>
      <c r="G196" s="99"/>
      <c r="H196" s="99"/>
      <c r="I196" s="182">
        <f t="shared" si="12"/>
        <v>430</v>
      </c>
      <c r="J196" s="84"/>
      <c r="K196" s="53">
        <f t="shared" si="11"/>
        <v>430</v>
      </c>
    </row>
    <row r="197" spans="1:11" ht="20.25" customHeight="1">
      <c r="A197" s="95"/>
      <c r="B197" s="116" t="s">
        <v>20</v>
      </c>
      <c r="C197" s="99"/>
      <c r="D197" s="99"/>
      <c r="E197" s="92">
        <v>510</v>
      </c>
      <c r="F197" s="92"/>
      <c r="G197" s="99"/>
      <c r="H197" s="99"/>
      <c r="I197" s="182">
        <f t="shared" si="12"/>
        <v>510</v>
      </c>
      <c r="J197" s="84"/>
      <c r="K197" s="53">
        <f t="shared" si="11"/>
        <v>510</v>
      </c>
    </row>
    <row r="198" spans="1:11" ht="20.25" customHeight="1">
      <c r="A198" s="95"/>
      <c r="B198" s="114" t="s">
        <v>23</v>
      </c>
      <c r="C198" s="99"/>
      <c r="D198" s="99"/>
      <c r="E198" s="99">
        <v>300</v>
      </c>
      <c r="F198" s="99"/>
      <c r="G198" s="99"/>
      <c r="H198" s="99"/>
      <c r="I198" s="182">
        <f t="shared" si="12"/>
        <v>300</v>
      </c>
      <c r="J198" s="84"/>
      <c r="K198" s="53">
        <f t="shared" si="11"/>
        <v>300</v>
      </c>
    </row>
    <row r="199" spans="1:11" ht="21.75" customHeight="1">
      <c r="A199" s="95"/>
      <c r="B199" s="114" t="s">
        <v>337</v>
      </c>
      <c r="C199" s="99"/>
      <c r="D199" s="99"/>
      <c r="E199" s="99">
        <v>2000</v>
      </c>
      <c r="F199" s="99"/>
      <c r="G199" s="99"/>
      <c r="H199" s="99"/>
      <c r="I199" s="182">
        <f t="shared" si="12"/>
        <v>2000</v>
      </c>
      <c r="J199" s="84"/>
      <c r="K199" s="53">
        <f t="shared" si="11"/>
        <v>2000</v>
      </c>
    </row>
    <row r="200" spans="1:11" ht="21" customHeight="1">
      <c r="A200" s="95"/>
      <c r="B200" s="114" t="s">
        <v>150</v>
      </c>
      <c r="C200" s="99"/>
      <c r="D200" s="99"/>
      <c r="E200" s="99">
        <v>516</v>
      </c>
      <c r="F200" s="99"/>
      <c r="G200" s="99"/>
      <c r="H200" s="99"/>
      <c r="I200" s="182">
        <f t="shared" si="12"/>
        <v>516</v>
      </c>
      <c r="J200" s="84"/>
      <c r="K200" s="53">
        <f t="shared" si="11"/>
        <v>516</v>
      </c>
    </row>
    <row r="201" spans="1:11" ht="21" customHeight="1">
      <c r="A201" s="95"/>
      <c r="B201" s="114" t="s">
        <v>126</v>
      </c>
      <c r="C201" s="99"/>
      <c r="D201" s="99"/>
      <c r="E201" s="99">
        <v>700</v>
      </c>
      <c r="F201" s="99"/>
      <c r="G201" s="99"/>
      <c r="H201" s="99"/>
      <c r="I201" s="182">
        <f t="shared" si="12"/>
        <v>700</v>
      </c>
      <c r="J201" s="84"/>
      <c r="K201" s="53">
        <f t="shared" si="11"/>
        <v>700</v>
      </c>
    </row>
    <row r="202" spans="1:11" ht="20.25" customHeight="1">
      <c r="A202" s="95"/>
      <c r="B202" s="114" t="s">
        <v>780</v>
      </c>
      <c r="C202" s="99"/>
      <c r="D202" s="99"/>
      <c r="E202" s="99">
        <v>2585</v>
      </c>
      <c r="F202" s="99"/>
      <c r="G202" s="99"/>
      <c r="H202" s="99"/>
      <c r="I202" s="182">
        <f t="shared" si="12"/>
        <v>2585</v>
      </c>
      <c r="J202" s="84"/>
      <c r="K202" s="53">
        <f t="shared" si="11"/>
        <v>2585</v>
      </c>
    </row>
    <row r="203" spans="1:11" ht="18.75" customHeight="1">
      <c r="A203" s="95"/>
      <c r="B203" s="114" t="s">
        <v>786</v>
      </c>
      <c r="C203" s="99"/>
      <c r="D203" s="99"/>
      <c r="E203" s="99">
        <v>120</v>
      </c>
      <c r="F203" s="99"/>
      <c r="G203" s="99"/>
      <c r="H203" s="99"/>
      <c r="I203" s="182">
        <f t="shared" si="12"/>
        <v>120</v>
      </c>
      <c r="J203" s="95"/>
      <c r="K203" s="53">
        <f t="shared" si="11"/>
        <v>120</v>
      </c>
    </row>
    <row r="204" spans="1:11" ht="15" customHeight="1">
      <c r="A204" s="95"/>
      <c r="B204" s="114" t="s">
        <v>779</v>
      </c>
      <c r="C204" s="99"/>
      <c r="D204" s="99"/>
      <c r="E204" s="99">
        <v>2178</v>
      </c>
      <c r="F204" s="99"/>
      <c r="G204" s="99"/>
      <c r="H204" s="99"/>
      <c r="I204" s="182">
        <f t="shared" si="12"/>
        <v>2178</v>
      </c>
      <c r="J204" s="84"/>
      <c r="K204" s="53">
        <f t="shared" si="11"/>
        <v>2178</v>
      </c>
    </row>
    <row r="205" spans="1:11" ht="15" customHeight="1">
      <c r="A205" s="95"/>
      <c r="B205" s="114" t="s">
        <v>534</v>
      </c>
      <c r="C205" s="99"/>
      <c r="D205" s="99"/>
      <c r="E205" s="99">
        <v>4350</v>
      </c>
      <c r="F205" s="99"/>
      <c r="G205" s="99"/>
      <c r="H205" s="99"/>
      <c r="I205" s="182">
        <f t="shared" si="12"/>
        <v>4350</v>
      </c>
      <c r="J205" s="84"/>
      <c r="K205" s="53">
        <f t="shared" si="11"/>
        <v>4350</v>
      </c>
    </row>
    <row r="206" spans="1:11" ht="15" customHeight="1">
      <c r="A206" s="95"/>
      <c r="B206" s="114" t="s">
        <v>82</v>
      </c>
      <c r="C206" s="99"/>
      <c r="D206" s="99"/>
      <c r="E206" s="99">
        <v>3340</v>
      </c>
      <c r="F206" s="99"/>
      <c r="G206" s="99"/>
      <c r="H206" s="99"/>
      <c r="I206" s="182">
        <f t="shared" si="12"/>
        <v>3340</v>
      </c>
      <c r="J206" s="84"/>
      <c r="K206" s="53">
        <f t="shared" si="11"/>
        <v>3340</v>
      </c>
    </row>
    <row r="207" spans="1:11" ht="15" customHeight="1">
      <c r="A207" s="95"/>
      <c r="B207" s="114" t="s">
        <v>80</v>
      </c>
      <c r="C207" s="99"/>
      <c r="D207" s="99"/>
      <c r="E207" s="99">
        <v>7829</v>
      </c>
      <c r="F207" s="99"/>
      <c r="G207" s="99"/>
      <c r="H207" s="99"/>
      <c r="I207" s="182">
        <f t="shared" si="12"/>
        <v>7829</v>
      </c>
      <c r="J207" s="84"/>
      <c r="K207" s="53">
        <f t="shared" si="11"/>
        <v>7829</v>
      </c>
    </row>
    <row r="208" spans="1:11" ht="15" customHeight="1">
      <c r="A208" s="95"/>
      <c r="B208" s="114" t="s">
        <v>155</v>
      </c>
      <c r="C208" s="99"/>
      <c r="D208" s="99"/>
      <c r="E208" s="99">
        <v>130</v>
      </c>
      <c r="F208" s="99"/>
      <c r="G208" s="99"/>
      <c r="H208" s="99"/>
      <c r="I208" s="182">
        <f t="shared" si="12"/>
        <v>130</v>
      </c>
      <c r="J208" s="84"/>
      <c r="K208" s="53">
        <f t="shared" si="11"/>
        <v>130</v>
      </c>
    </row>
    <row r="209" spans="1:11" ht="15" customHeight="1">
      <c r="A209" s="95"/>
      <c r="B209" s="114" t="s">
        <v>201</v>
      </c>
      <c r="C209" s="99"/>
      <c r="D209" s="99"/>
      <c r="E209" s="99">
        <v>50</v>
      </c>
      <c r="F209" s="99"/>
      <c r="G209" s="99"/>
      <c r="H209" s="99"/>
      <c r="I209" s="182">
        <f t="shared" si="12"/>
        <v>50</v>
      </c>
      <c r="J209" s="84"/>
      <c r="K209" s="53">
        <f t="shared" si="11"/>
        <v>50</v>
      </c>
    </row>
    <row r="210" spans="1:11" ht="15" customHeight="1">
      <c r="A210" s="95"/>
      <c r="B210" s="114" t="s">
        <v>308</v>
      </c>
      <c r="C210" s="99"/>
      <c r="D210" s="99"/>
      <c r="E210" s="99">
        <v>50</v>
      </c>
      <c r="F210" s="99"/>
      <c r="G210" s="99"/>
      <c r="H210" s="99"/>
      <c r="I210" s="182">
        <f t="shared" si="12"/>
        <v>50</v>
      </c>
      <c r="J210" s="84"/>
      <c r="K210" s="53">
        <f t="shared" si="11"/>
        <v>50</v>
      </c>
    </row>
    <row r="211" spans="1:11" ht="15" customHeight="1">
      <c r="A211" s="95"/>
      <c r="B211" s="114" t="s">
        <v>39</v>
      </c>
      <c r="C211" s="99"/>
      <c r="D211" s="99"/>
      <c r="E211" s="99">
        <v>82</v>
      </c>
      <c r="F211" s="99"/>
      <c r="G211" s="99"/>
      <c r="H211" s="99"/>
      <c r="I211" s="182">
        <f t="shared" si="12"/>
        <v>82</v>
      </c>
      <c r="J211" s="84"/>
      <c r="K211" s="53">
        <f t="shared" si="11"/>
        <v>82</v>
      </c>
    </row>
    <row r="212" spans="1:11" ht="15" customHeight="1">
      <c r="A212" s="95"/>
      <c r="B212" s="114" t="s">
        <v>40</v>
      </c>
      <c r="C212" s="99"/>
      <c r="D212" s="99"/>
      <c r="E212" s="99">
        <v>350</v>
      </c>
      <c r="F212" s="99"/>
      <c r="G212" s="99"/>
      <c r="H212" s="99"/>
      <c r="I212" s="182">
        <f t="shared" si="12"/>
        <v>350</v>
      </c>
      <c r="J212" s="84"/>
      <c r="K212" s="53">
        <f t="shared" si="11"/>
        <v>350</v>
      </c>
    </row>
    <row r="213" spans="1:11" ht="15" customHeight="1">
      <c r="A213" s="95"/>
      <c r="B213" s="114" t="s">
        <v>475</v>
      </c>
      <c r="C213" s="99"/>
      <c r="D213" s="99"/>
      <c r="E213" s="99">
        <v>100</v>
      </c>
      <c r="F213" s="99"/>
      <c r="G213" s="99"/>
      <c r="H213" s="99"/>
      <c r="I213" s="182">
        <f t="shared" si="12"/>
        <v>100</v>
      </c>
      <c r="J213" s="84"/>
      <c r="K213" s="53">
        <f t="shared" si="11"/>
        <v>100</v>
      </c>
    </row>
    <row r="214" spans="1:11" ht="15" customHeight="1">
      <c r="A214" s="95"/>
      <c r="B214" s="116" t="s">
        <v>200</v>
      </c>
      <c r="C214" s="99"/>
      <c r="D214" s="99"/>
      <c r="E214" s="99">
        <v>25</v>
      </c>
      <c r="F214" s="99"/>
      <c r="G214" s="99"/>
      <c r="H214" s="99"/>
      <c r="I214" s="182">
        <f t="shared" si="12"/>
        <v>25</v>
      </c>
      <c r="J214" s="84"/>
      <c r="K214" s="53">
        <f t="shared" si="11"/>
        <v>25</v>
      </c>
    </row>
    <row r="215" spans="1:11" ht="15" customHeight="1">
      <c r="A215" s="95"/>
      <c r="B215" s="116" t="s">
        <v>159</v>
      </c>
      <c r="C215" s="99"/>
      <c r="D215" s="99"/>
      <c r="E215" s="99">
        <v>100</v>
      </c>
      <c r="F215" s="99"/>
      <c r="G215" s="99"/>
      <c r="H215" s="99"/>
      <c r="I215" s="182">
        <f t="shared" si="12"/>
        <v>100</v>
      </c>
      <c r="J215" s="84"/>
      <c r="K215" s="53">
        <f t="shared" si="11"/>
        <v>100</v>
      </c>
    </row>
    <row r="216" spans="1:11" ht="15" customHeight="1">
      <c r="A216" s="95"/>
      <c r="B216" s="114" t="s">
        <v>207</v>
      </c>
      <c r="C216" s="99"/>
      <c r="D216" s="99"/>
      <c r="E216" s="99">
        <v>50</v>
      </c>
      <c r="F216" s="99"/>
      <c r="G216" s="99"/>
      <c r="H216" s="99"/>
      <c r="I216" s="182">
        <f t="shared" si="12"/>
        <v>50</v>
      </c>
      <c r="J216" s="84"/>
      <c r="K216" s="53">
        <f t="shared" si="11"/>
        <v>50</v>
      </c>
    </row>
    <row r="217" spans="1:11" ht="15" customHeight="1">
      <c r="A217" s="95"/>
      <c r="B217" s="114" t="s">
        <v>198</v>
      </c>
      <c r="C217" s="99"/>
      <c r="D217" s="99"/>
      <c r="E217" s="99">
        <v>50</v>
      </c>
      <c r="F217" s="99"/>
      <c r="G217" s="99"/>
      <c r="H217" s="99"/>
      <c r="I217" s="182">
        <f t="shared" si="12"/>
        <v>50</v>
      </c>
      <c r="J217" s="84"/>
      <c r="K217" s="53">
        <f t="shared" si="11"/>
        <v>50</v>
      </c>
    </row>
    <row r="218" spans="1:11" ht="15" customHeight="1">
      <c r="A218" s="95"/>
      <c r="B218" s="114" t="s">
        <v>218</v>
      </c>
      <c r="C218" s="99"/>
      <c r="D218" s="99"/>
      <c r="E218" s="99">
        <v>157</v>
      </c>
      <c r="F218" s="99"/>
      <c r="G218" s="99"/>
      <c r="H218" s="99"/>
      <c r="I218" s="182">
        <f t="shared" si="12"/>
        <v>157</v>
      </c>
      <c r="J218" s="84"/>
      <c r="K218" s="53">
        <f t="shared" si="11"/>
        <v>157</v>
      </c>
    </row>
    <row r="219" spans="1:11" ht="15" customHeight="1">
      <c r="A219" s="95"/>
      <c r="B219" s="114" t="s">
        <v>480</v>
      </c>
      <c r="C219" s="99"/>
      <c r="D219" s="99"/>
      <c r="E219" s="99">
        <v>160</v>
      </c>
      <c r="F219" s="99"/>
      <c r="G219" s="99"/>
      <c r="H219" s="99"/>
      <c r="I219" s="182">
        <f t="shared" si="12"/>
        <v>160</v>
      </c>
      <c r="J219" s="84"/>
      <c r="K219" s="53">
        <f t="shared" si="11"/>
        <v>160</v>
      </c>
    </row>
    <row r="220" spans="1:11" ht="15" customHeight="1">
      <c r="A220" s="95"/>
      <c r="B220" s="114" t="s">
        <v>535</v>
      </c>
      <c r="C220" s="99"/>
      <c r="D220" s="99"/>
      <c r="E220" s="99">
        <v>100</v>
      </c>
      <c r="F220" s="99"/>
      <c r="G220" s="99"/>
      <c r="H220" s="99"/>
      <c r="I220" s="182">
        <f t="shared" si="12"/>
        <v>100</v>
      </c>
      <c r="J220" s="84"/>
      <c r="K220" s="53">
        <f t="shared" si="11"/>
        <v>100</v>
      </c>
    </row>
    <row r="221" spans="1:11" ht="15" customHeight="1">
      <c r="A221" s="95"/>
      <c r="B221" s="114" t="s">
        <v>157</v>
      </c>
      <c r="C221" s="99"/>
      <c r="D221" s="99"/>
      <c r="E221" s="99">
        <v>400</v>
      </c>
      <c r="F221" s="99"/>
      <c r="G221" s="99"/>
      <c r="H221" s="99"/>
      <c r="I221" s="182">
        <f t="shared" si="12"/>
        <v>400</v>
      </c>
      <c r="J221" s="84"/>
      <c r="K221" s="53">
        <f t="shared" si="11"/>
        <v>400</v>
      </c>
    </row>
    <row r="222" spans="1:11" ht="15" customHeight="1">
      <c r="A222" s="95"/>
      <c r="B222" s="114" t="s">
        <v>156</v>
      </c>
      <c r="C222" s="99"/>
      <c r="D222" s="99"/>
      <c r="E222" s="99">
        <v>200</v>
      </c>
      <c r="F222" s="99"/>
      <c r="G222" s="99"/>
      <c r="H222" s="99"/>
      <c r="I222" s="182">
        <f t="shared" si="12"/>
        <v>200</v>
      </c>
      <c r="J222" s="84"/>
      <c r="K222" s="53">
        <f t="shared" si="11"/>
        <v>200</v>
      </c>
    </row>
    <row r="223" spans="1:11" ht="15" customHeight="1">
      <c r="A223" s="95"/>
      <c r="B223" s="114" t="s">
        <v>140</v>
      </c>
      <c r="C223" s="99"/>
      <c r="D223" s="99"/>
      <c r="E223" s="99">
        <v>250</v>
      </c>
      <c r="F223" s="99"/>
      <c r="G223" s="99"/>
      <c r="H223" s="99"/>
      <c r="I223" s="182">
        <f t="shared" si="12"/>
        <v>250</v>
      </c>
      <c r="J223" s="84"/>
      <c r="K223" s="53">
        <f t="shared" si="11"/>
        <v>250</v>
      </c>
    </row>
    <row r="224" spans="1:11" ht="18.75" customHeight="1">
      <c r="A224" s="95"/>
      <c r="B224" s="114" t="s">
        <v>160</v>
      </c>
      <c r="C224" s="99"/>
      <c r="D224" s="99"/>
      <c r="E224" s="99">
        <v>200</v>
      </c>
      <c r="F224" s="99"/>
      <c r="G224" s="99"/>
      <c r="H224" s="99"/>
      <c r="I224" s="182">
        <f t="shared" si="12"/>
        <v>200</v>
      </c>
      <c r="J224" s="84"/>
      <c r="K224" s="53">
        <f t="shared" si="11"/>
        <v>200</v>
      </c>
    </row>
    <row r="225" spans="1:11" ht="31.5" customHeight="1">
      <c r="A225" s="95"/>
      <c r="B225" s="114" t="s">
        <v>785</v>
      </c>
      <c r="C225" s="99"/>
      <c r="D225" s="99"/>
      <c r="E225" s="99">
        <v>9000</v>
      </c>
      <c r="F225" s="99"/>
      <c r="G225" s="99"/>
      <c r="H225" s="99"/>
      <c r="I225" s="182">
        <f t="shared" si="12"/>
        <v>9000</v>
      </c>
      <c r="J225" s="84"/>
      <c r="K225" s="53">
        <f t="shared" si="11"/>
        <v>9000</v>
      </c>
    </row>
    <row r="226" spans="1:11" ht="31.5" customHeight="1">
      <c r="A226" s="95"/>
      <c r="B226" s="114" t="s">
        <v>712</v>
      </c>
      <c r="C226" s="99"/>
      <c r="D226" s="99"/>
      <c r="E226" s="99">
        <v>2500</v>
      </c>
      <c r="F226" s="99"/>
      <c r="G226" s="99"/>
      <c r="H226" s="99"/>
      <c r="I226" s="182">
        <f t="shared" si="13" ref="I226:I257">E226</f>
        <v>2500</v>
      </c>
      <c r="J226" s="84"/>
      <c r="K226" s="53">
        <f t="shared" si="11"/>
        <v>2500</v>
      </c>
    </row>
    <row r="227" spans="1:11" ht="15" customHeight="1">
      <c r="A227" s="95"/>
      <c r="B227" s="114" t="s">
        <v>48</v>
      </c>
      <c r="C227" s="99"/>
      <c r="D227" s="99"/>
      <c r="E227" s="99">
        <v>15072</v>
      </c>
      <c r="F227" s="99"/>
      <c r="G227" s="99"/>
      <c r="H227" s="99"/>
      <c r="I227" s="182">
        <f t="shared" si="13"/>
        <v>15072</v>
      </c>
      <c r="J227" s="84"/>
      <c r="K227" s="53">
        <f t="shared" si="11"/>
        <v>15072</v>
      </c>
    </row>
    <row r="228" spans="1:11" ht="15" customHeight="1">
      <c r="A228" s="95"/>
      <c r="B228" s="114" t="s">
        <v>743</v>
      </c>
      <c r="C228" s="99"/>
      <c r="D228" s="99"/>
      <c r="E228" s="99">
        <v>1400</v>
      </c>
      <c r="F228" s="99"/>
      <c r="G228" s="99"/>
      <c r="H228" s="99"/>
      <c r="I228" s="182">
        <f t="shared" si="13"/>
        <v>1400</v>
      </c>
      <c r="J228" s="84"/>
      <c r="K228" s="53">
        <f t="shared" si="11"/>
        <v>1400</v>
      </c>
    </row>
    <row r="229" spans="1:11" ht="15" customHeight="1">
      <c r="A229" s="95"/>
      <c r="B229" s="114" t="s">
        <v>788</v>
      </c>
      <c r="C229" s="99"/>
      <c r="D229" s="99"/>
      <c r="E229" s="99">
        <v>1332</v>
      </c>
      <c r="F229" s="99"/>
      <c r="G229" s="99"/>
      <c r="H229" s="99"/>
      <c r="I229" s="182">
        <f t="shared" si="13"/>
        <v>1332</v>
      </c>
      <c r="J229" s="84"/>
      <c r="K229" s="53">
        <f t="shared" si="14" ref="K229:K292">I229+J229</f>
        <v>1332</v>
      </c>
    </row>
    <row r="230" spans="1:11" ht="15" customHeight="1">
      <c r="A230" s="95"/>
      <c r="B230" s="114" t="s">
        <v>174</v>
      </c>
      <c r="C230" s="99"/>
      <c r="D230" s="99"/>
      <c r="E230" s="92">
        <v>500</v>
      </c>
      <c r="F230" s="92"/>
      <c r="G230" s="99"/>
      <c r="H230" s="99"/>
      <c r="I230" s="182">
        <f t="shared" si="13"/>
        <v>500</v>
      </c>
      <c r="J230" s="84"/>
      <c r="K230" s="53">
        <f t="shared" si="14"/>
        <v>500</v>
      </c>
    </row>
    <row r="231" spans="1:11" ht="15" customHeight="1">
      <c r="A231" s="95"/>
      <c r="B231" s="114" t="s">
        <v>164</v>
      </c>
      <c r="C231" s="99"/>
      <c r="D231" s="99"/>
      <c r="E231" s="99">
        <v>150</v>
      </c>
      <c r="F231" s="99"/>
      <c r="G231" s="99"/>
      <c r="H231" s="99"/>
      <c r="I231" s="182">
        <f t="shared" si="13"/>
        <v>150</v>
      </c>
      <c r="J231" s="84"/>
      <c r="K231" s="53">
        <f t="shared" si="14"/>
        <v>150</v>
      </c>
    </row>
    <row r="232" spans="1:11" ht="15" customHeight="1">
      <c r="A232" s="95"/>
      <c r="B232" s="114" t="s">
        <v>789</v>
      </c>
      <c r="C232" s="99"/>
      <c r="D232" s="99"/>
      <c r="E232" s="99">
        <v>2201</v>
      </c>
      <c r="F232" s="99"/>
      <c r="G232" s="99"/>
      <c r="H232" s="99"/>
      <c r="I232" s="182">
        <f t="shared" si="13"/>
        <v>2201</v>
      </c>
      <c r="J232" s="84"/>
      <c r="K232" s="53">
        <f t="shared" si="14"/>
        <v>2201</v>
      </c>
    </row>
    <row r="233" spans="1:11" ht="15" customHeight="1">
      <c r="A233" s="95"/>
      <c r="B233" s="114" t="s">
        <v>176</v>
      </c>
      <c r="C233" s="99"/>
      <c r="D233" s="99"/>
      <c r="E233" s="99">
        <f>1000</f>
        <v>1000</v>
      </c>
      <c r="F233" s="99">
        <v>2929</v>
      </c>
      <c r="G233" s="99"/>
      <c r="H233" s="99"/>
      <c r="I233" s="182">
        <f t="shared" si="13"/>
        <v>1000</v>
      </c>
      <c r="J233" s="84">
        <v>2929</v>
      </c>
      <c r="K233" s="53">
        <f t="shared" si="14"/>
        <v>3929</v>
      </c>
    </row>
    <row r="234" spans="1:11" ht="15" customHeight="1">
      <c r="A234" s="95"/>
      <c r="B234" s="114" t="s">
        <v>325</v>
      </c>
      <c r="C234" s="99"/>
      <c r="D234" s="99"/>
      <c r="E234" s="99">
        <v>552</v>
      </c>
      <c r="F234" s="99"/>
      <c r="G234" s="99"/>
      <c r="H234" s="99"/>
      <c r="I234" s="182">
        <f t="shared" si="13"/>
        <v>552</v>
      </c>
      <c r="J234" s="84"/>
      <c r="K234" s="53">
        <f t="shared" si="14"/>
        <v>552</v>
      </c>
    </row>
    <row r="235" spans="1:11" ht="17.25" customHeight="1">
      <c r="A235" s="95"/>
      <c r="B235" s="114" t="s">
        <v>787</v>
      </c>
      <c r="C235" s="99"/>
      <c r="D235" s="99"/>
      <c r="E235" s="99">
        <v>2384</v>
      </c>
      <c r="F235" s="99"/>
      <c r="G235" s="99"/>
      <c r="H235" s="99"/>
      <c r="I235" s="182">
        <f t="shared" si="13"/>
        <v>2384</v>
      </c>
      <c r="J235" s="84"/>
      <c r="K235" s="53">
        <f t="shared" si="14"/>
        <v>2384</v>
      </c>
    </row>
    <row r="236" spans="1:11" ht="15" customHeight="1">
      <c r="A236" s="95"/>
      <c r="B236" s="114" t="s">
        <v>186</v>
      </c>
      <c r="C236" s="99"/>
      <c r="D236" s="99"/>
      <c r="E236" s="99">
        <v>2257</v>
      </c>
      <c r="F236" s="99"/>
      <c r="G236" s="99"/>
      <c r="H236" s="99"/>
      <c r="I236" s="182">
        <f t="shared" si="13"/>
        <v>2257</v>
      </c>
      <c r="J236" s="84"/>
      <c r="K236" s="53">
        <f t="shared" si="14"/>
        <v>2257</v>
      </c>
    </row>
    <row r="237" spans="1:11" ht="15" customHeight="1">
      <c r="A237" s="95"/>
      <c r="B237" s="114" t="s">
        <v>775</v>
      </c>
      <c r="C237" s="99"/>
      <c r="D237" s="99"/>
      <c r="E237" s="99">
        <v>2700</v>
      </c>
      <c r="F237" s="99"/>
      <c r="G237" s="99"/>
      <c r="H237" s="99"/>
      <c r="I237" s="182">
        <f t="shared" si="13"/>
        <v>2700</v>
      </c>
      <c r="J237" s="84"/>
      <c r="K237" s="53">
        <f t="shared" si="14"/>
        <v>2700</v>
      </c>
    </row>
    <row r="238" spans="1:11" ht="15" customHeight="1">
      <c r="A238" s="96" t="s">
        <v>536</v>
      </c>
      <c r="B238" s="96" t="s">
        <v>537</v>
      </c>
      <c r="C238" s="98"/>
      <c r="D238" s="98"/>
      <c r="E238" s="98">
        <f>SUM(E239:E243)</f>
        <v>2526</v>
      </c>
      <c r="F238" s="98"/>
      <c r="G238" s="98"/>
      <c r="H238" s="98"/>
      <c r="I238" s="181">
        <f t="shared" si="13"/>
        <v>2526</v>
      </c>
      <c r="J238" s="83"/>
      <c r="K238" s="195">
        <f t="shared" si="14"/>
        <v>2526</v>
      </c>
    </row>
    <row r="239" spans="1:11" s="86" customFormat="1" ht="15" customHeight="1">
      <c r="A239" s="95"/>
      <c r="B239" s="116" t="s">
        <v>519</v>
      </c>
      <c r="C239" s="99"/>
      <c r="D239" s="99"/>
      <c r="E239" s="99">
        <v>800</v>
      </c>
      <c r="F239" s="99"/>
      <c r="G239" s="99"/>
      <c r="H239" s="99"/>
      <c r="I239" s="182">
        <f t="shared" si="13"/>
        <v>800</v>
      </c>
      <c r="J239" s="84"/>
      <c r="K239" s="53">
        <f t="shared" si="14"/>
        <v>800</v>
      </c>
    </row>
    <row r="240" spans="1:11" s="86" customFormat="1" ht="15" customHeight="1">
      <c r="A240" s="95"/>
      <c r="B240" s="116" t="s">
        <v>790</v>
      </c>
      <c r="C240" s="99"/>
      <c r="D240" s="99"/>
      <c r="E240" s="99">
        <v>25</v>
      </c>
      <c r="F240" s="99"/>
      <c r="G240" s="99"/>
      <c r="H240" s="99"/>
      <c r="I240" s="182">
        <f t="shared" si="13"/>
        <v>25</v>
      </c>
      <c r="J240" s="84"/>
      <c r="K240" s="53">
        <f t="shared" si="14"/>
        <v>25</v>
      </c>
    </row>
    <row r="241" spans="1:11" s="87" customFormat="1" ht="29.25" customHeight="1">
      <c r="A241" s="95"/>
      <c r="B241" s="94" t="s">
        <v>838</v>
      </c>
      <c r="C241" s="99"/>
      <c r="D241" s="99"/>
      <c r="E241" s="99">
        <v>1050</v>
      </c>
      <c r="F241" s="99"/>
      <c r="G241" s="99"/>
      <c r="H241" s="99"/>
      <c r="I241" s="182">
        <f t="shared" si="13"/>
        <v>1050</v>
      </c>
      <c r="J241" s="84"/>
      <c r="K241" s="53">
        <f t="shared" si="14"/>
        <v>1050</v>
      </c>
    </row>
    <row r="242" spans="1:11" ht="30.75" customHeight="1">
      <c r="A242" s="95"/>
      <c r="B242" s="94" t="s">
        <v>791</v>
      </c>
      <c r="C242" s="99"/>
      <c r="D242" s="99"/>
      <c r="E242" s="99">
        <v>255</v>
      </c>
      <c r="F242" s="99"/>
      <c r="G242" s="99"/>
      <c r="H242" s="99"/>
      <c r="I242" s="182">
        <f t="shared" si="13"/>
        <v>255</v>
      </c>
      <c r="J242" s="84"/>
      <c r="K242" s="53">
        <f t="shared" si="14"/>
        <v>255</v>
      </c>
    </row>
    <row r="243" spans="1:11" ht="15" customHeight="1">
      <c r="A243" s="95"/>
      <c r="B243" s="95" t="s">
        <v>792</v>
      </c>
      <c r="C243" s="99"/>
      <c r="D243" s="99"/>
      <c r="E243" s="99">
        <v>396</v>
      </c>
      <c r="F243" s="99"/>
      <c r="G243" s="99"/>
      <c r="H243" s="99"/>
      <c r="I243" s="182">
        <f t="shared" si="13"/>
        <v>396</v>
      </c>
      <c r="J243" s="84"/>
      <c r="K243" s="53">
        <f t="shared" si="14"/>
        <v>396</v>
      </c>
    </row>
    <row r="244" spans="1:11" ht="15" customHeight="1">
      <c r="A244" s="96" t="s">
        <v>540</v>
      </c>
      <c r="B244" s="96" t="s">
        <v>541</v>
      </c>
      <c r="C244" s="98"/>
      <c r="D244" s="98"/>
      <c r="E244" s="98">
        <v>350000</v>
      </c>
      <c r="F244" s="98"/>
      <c r="G244" s="98"/>
      <c r="H244" s="98"/>
      <c r="I244" s="181">
        <f t="shared" si="13"/>
        <v>350000</v>
      </c>
      <c r="J244" s="83"/>
      <c r="K244" s="195">
        <f t="shared" si="14"/>
        <v>350000</v>
      </c>
    </row>
    <row r="245" spans="1:11" ht="15" customHeight="1">
      <c r="A245" s="96" t="s">
        <v>542</v>
      </c>
      <c r="B245" s="96" t="s">
        <v>543</v>
      </c>
      <c r="C245" s="98"/>
      <c r="D245" s="98"/>
      <c r="E245" s="98">
        <f>SUM(E246:E265)</f>
        <v>60017</v>
      </c>
      <c r="F245" s="98"/>
      <c r="G245" s="98"/>
      <c r="H245" s="98"/>
      <c r="I245" s="181">
        <f t="shared" si="13"/>
        <v>60017</v>
      </c>
      <c r="J245" s="83"/>
      <c r="K245" s="195">
        <f t="shared" si="14"/>
        <v>60017</v>
      </c>
    </row>
    <row r="246" spans="1:11" ht="15" customHeight="1">
      <c r="A246" s="95"/>
      <c r="B246" s="94" t="s">
        <v>564</v>
      </c>
      <c r="C246" s="99"/>
      <c r="D246" s="99"/>
      <c r="E246" s="99">
        <v>17000</v>
      </c>
      <c r="F246" s="99"/>
      <c r="G246" s="99"/>
      <c r="H246" s="99"/>
      <c r="I246" s="182">
        <f t="shared" si="13"/>
        <v>17000</v>
      </c>
      <c r="J246" s="186"/>
      <c r="K246" s="53">
        <f t="shared" si="14"/>
        <v>17000</v>
      </c>
    </row>
    <row r="247" spans="1:11" ht="15" customHeight="1">
      <c r="A247" s="95"/>
      <c r="B247" s="95" t="s">
        <v>775</v>
      </c>
      <c r="C247" s="99"/>
      <c r="D247" s="99"/>
      <c r="E247" s="99">
        <v>11923</v>
      </c>
      <c r="F247" s="99"/>
      <c r="G247" s="99"/>
      <c r="H247" s="99"/>
      <c r="I247" s="182">
        <f t="shared" si="13"/>
        <v>11923</v>
      </c>
      <c r="J247" s="84"/>
      <c r="K247" s="53">
        <f t="shared" si="14"/>
        <v>11923</v>
      </c>
    </row>
    <row r="248" spans="1:11" ht="31.9" customHeight="1">
      <c r="A248" s="95"/>
      <c r="B248" s="94"/>
      <c r="C248" s="99"/>
      <c r="D248" s="99"/>
      <c r="E248" s="99"/>
      <c r="F248" s="99"/>
      <c r="G248" s="99"/>
      <c r="H248" s="99"/>
      <c r="I248" s="182">
        <f t="shared" si="13"/>
        <v>0</v>
      </c>
      <c r="J248" s="84"/>
      <c r="K248" s="53">
        <f t="shared" si="14"/>
        <v>0</v>
      </c>
    </row>
    <row r="249" spans="1:11" ht="15" customHeight="1">
      <c r="A249" s="95"/>
      <c r="B249" s="95" t="s">
        <v>452</v>
      </c>
      <c r="C249" s="99"/>
      <c r="D249" s="99"/>
      <c r="E249" s="99">
        <v>5534</v>
      </c>
      <c r="F249" s="99"/>
      <c r="G249" s="99"/>
      <c r="H249" s="99"/>
      <c r="I249" s="182">
        <f t="shared" si="13"/>
        <v>5534</v>
      </c>
      <c r="J249" s="84"/>
      <c r="K249" s="53">
        <f t="shared" si="14"/>
        <v>5534</v>
      </c>
    </row>
    <row r="250" spans="1:11" ht="15" customHeight="1">
      <c r="A250" s="95"/>
      <c r="B250" s="95" t="s">
        <v>3</v>
      </c>
      <c r="C250" s="99"/>
      <c r="D250" s="99"/>
      <c r="E250" s="99">
        <v>115</v>
      </c>
      <c r="F250" s="99"/>
      <c r="G250" s="99"/>
      <c r="H250" s="99"/>
      <c r="I250" s="182">
        <f t="shared" si="13"/>
        <v>115</v>
      </c>
      <c r="J250" s="84"/>
      <c r="K250" s="53">
        <f t="shared" si="14"/>
        <v>115</v>
      </c>
    </row>
    <row r="251" spans="1:11" ht="30.75" customHeight="1">
      <c r="A251" s="95"/>
      <c r="B251" s="94" t="s">
        <v>7</v>
      </c>
      <c r="C251" s="99"/>
      <c r="D251" s="99"/>
      <c r="E251" s="99">
        <v>85</v>
      </c>
      <c r="F251" s="99"/>
      <c r="G251" s="99"/>
      <c r="H251" s="99"/>
      <c r="I251" s="182">
        <f t="shared" si="13"/>
        <v>85</v>
      </c>
      <c r="J251" s="84"/>
      <c r="K251" s="53">
        <f t="shared" si="14"/>
        <v>85</v>
      </c>
    </row>
    <row r="252" spans="1:11" ht="15" customHeight="1">
      <c r="A252" s="95"/>
      <c r="B252" s="95" t="s">
        <v>138</v>
      </c>
      <c r="C252" s="99"/>
      <c r="D252" s="99"/>
      <c r="E252" s="92">
        <v>1200</v>
      </c>
      <c r="F252" s="92"/>
      <c r="G252" s="99"/>
      <c r="H252" s="99"/>
      <c r="I252" s="182">
        <f t="shared" si="13"/>
        <v>1200</v>
      </c>
      <c r="J252" s="84"/>
      <c r="K252" s="53">
        <f t="shared" si="14"/>
        <v>1200</v>
      </c>
    </row>
    <row r="253" spans="1:11" ht="30" customHeight="1">
      <c r="A253" s="95"/>
      <c r="B253" s="94" t="s">
        <v>10</v>
      </c>
      <c r="C253" s="99"/>
      <c r="D253" s="99"/>
      <c r="E253" s="92">
        <v>500</v>
      </c>
      <c r="F253" s="92"/>
      <c r="G253" s="99"/>
      <c r="H253" s="99"/>
      <c r="I253" s="182">
        <f t="shared" si="13"/>
        <v>500</v>
      </c>
      <c r="J253" s="84"/>
      <c r="K253" s="53">
        <f t="shared" si="14"/>
        <v>500</v>
      </c>
    </row>
    <row r="254" spans="1:11" ht="15" customHeight="1">
      <c r="A254" s="95"/>
      <c r="B254" s="95" t="s">
        <v>12</v>
      </c>
      <c r="C254" s="99"/>
      <c r="D254" s="99"/>
      <c r="E254" s="92">
        <v>67</v>
      </c>
      <c r="F254" s="92"/>
      <c r="G254" s="99"/>
      <c r="H254" s="99"/>
      <c r="I254" s="182">
        <f t="shared" si="13"/>
        <v>67</v>
      </c>
      <c r="J254" s="84"/>
      <c r="K254" s="53">
        <f t="shared" si="14"/>
        <v>67</v>
      </c>
    </row>
    <row r="255" spans="1:11" ht="15" customHeight="1">
      <c r="A255" s="95"/>
      <c r="B255" s="95" t="s">
        <v>793</v>
      </c>
      <c r="C255" s="99"/>
      <c r="D255" s="99"/>
      <c r="E255" s="92">
        <v>897</v>
      </c>
      <c r="F255" s="92"/>
      <c r="G255" s="99"/>
      <c r="H255" s="99"/>
      <c r="I255" s="182">
        <f t="shared" si="13"/>
        <v>897</v>
      </c>
      <c r="J255" s="84"/>
      <c r="K255" s="53">
        <f t="shared" si="14"/>
        <v>897</v>
      </c>
    </row>
    <row r="256" spans="1:11" ht="15" customHeight="1">
      <c r="A256" s="95"/>
      <c r="B256" s="95" t="s">
        <v>23</v>
      </c>
      <c r="C256" s="99"/>
      <c r="D256" s="99"/>
      <c r="E256" s="99">
        <v>2191</v>
      </c>
      <c r="F256" s="99"/>
      <c r="G256" s="99"/>
      <c r="H256" s="99"/>
      <c r="I256" s="182">
        <f t="shared" si="13"/>
        <v>2191</v>
      </c>
      <c r="J256" s="84"/>
      <c r="K256" s="53">
        <f t="shared" si="14"/>
        <v>2191</v>
      </c>
    </row>
    <row r="257" spans="1:11" ht="15" customHeight="1">
      <c r="A257" s="95"/>
      <c r="B257" s="95" t="s">
        <v>337</v>
      </c>
      <c r="C257" s="99"/>
      <c r="D257" s="99"/>
      <c r="E257" s="99">
        <v>850</v>
      </c>
      <c r="F257" s="99"/>
      <c r="G257" s="99"/>
      <c r="H257" s="99"/>
      <c r="I257" s="182">
        <f t="shared" si="13"/>
        <v>850</v>
      </c>
      <c r="J257" s="84"/>
      <c r="K257" s="53">
        <f t="shared" si="14"/>
        <v>850</v>
      </c>
    </row>
    <row r="258" spans="1:11" ht="34.9" customHeight="1">
      <c r="A258" s="95"/>
      <c r="B258" s="94" t="s">
        <v>150</v>
      </c>
      <c r="C258" s="99"/>
      <c r="D258" s="99"/>
      <c r="E258" s="99">
        <v>1825</v>
      </c>
      <c r="F258" s="99"/>
      <c r="G258" s="99"/>
      <c r="H258" s="99"/>
      <c r="I258" s="182">
        <f t="shared" si="15" ref="I258:J289">E258</f>
        <v>1825</v>
      </c>
      <c r="J258" s="84"/>
      <c r="K258" s="53">
        <f t="shared" si="14"/>
        <v>1825</v>
      </c>
    </row>
    <row r="259" spans="1:11" ht="20.25" customHeight="1">
      <c r="A259" s="95"/>
      <c r="B259" s="95" t="s">
        <v>149</v>
      </c>
      <c r="C259" s="99"/>
      <c r="D259" s="99"/>
      <c r="E259" s="99">
        <v>3590</v>
      </c>
      <c r="F259" s="99"/>
      <c r="G259" s="99"/>
      <c r="H259" s="99"/>
      <c r="I259" s="182">
        <f t="shared" si="15"/>
        <v>3590</v>
      </c>
      <c r="J259" s="84"/>
      <c r="K259" s="53">
        <f t="shared" si="14"/>
        <v>3590</v>
      </c>
    </row>
    <row r="260" spans="1:11" ht="15" customHeight="1">
      <c r="A260" s="95"/>
      <c r="B260" s="95" t="s">
        <v>339</v>
      </c>
      <c r="C260" s="99"/>
      <c r="D260" s="99"/>
      <c r="E260" s="99">
        <v>240</v>
      </c>
      <c r="F260" s="99"/>
      <c r="G260" s="99"/>
      <c r="H260" s="99"/>
      <c r="I260" s="182">
        <f t="shared" si="15"/>
        <v>240</v>
      </c>
      <c r="J260" s="84"/>
      <c r="K260" s="53">
        <f t="shared" si="14"/>
        <v>240</v>
      </c>
    </row>
    <row r="261" spans="1:11" ht="15" customHeight="1">
      <c r="A261" s="95"/>
      <c r="B261" s="94" t="s">
        <v>199</v>
      </c>
      <c r="C261" s="99"/>
      <c r="D261" s="99"/>
      <c r="E261" s="99">
        <v>200</v>
      </c>
      <c r="F261" s="99"/>
      <c r="G261" s="99"/>
      <c r="H261" s="99"/>
      <c r="I261" s="182">
        <f t="shared" si="15"/>
        <v>200</v>
      </c>
      <c r="J261" s="84"/>
      <c r="K261" s="53">
        <f t="shared" si="14"/>
        <v>200</v>
      </c>
    </row>
    <row r="262" spans="1:11" ht="15" customHeight="1">
      <c r="A262" s="95"/>
      <c r="B262" s="95" t="s">
        <v>121</v>
      </c>
      <c r="C262" s="99"/>
      <c r="D262" s="99"/>
      <c r="E262" s="99">
        <v>7500</v>
      </c>
      <c r="F262" s="99"/>
      <c r="G262" s="99"/>
      <c r="H262" s="99"/>
      <c r="I262" s="182">
        <f t="shared" si="15"/>
        <v>7500</v>
      </c>
      <c r="J262" s="84"/>
      <c r="K262" s="53">
        <f t="shared" si="14"/>
        <v>7500</v>
      </c>
    </row>
    <row r="263" spans="1:11" ht="15" customHeight="1">
      <c r="A263" s="95"/>
      <c r="B263" s="95" t="s">
        <v>127</v>
      </c>
      <c r="C263" s="99"/>
      <c r="D263" s="99"/>
      <c r="E263" s="99">
        <v>1000</v>
      </c>
      <c r="F263" s="99"/>
      <c r="G263" s="99"/>
      <c r="H263" s="99"/>
      <c r="I263" s="182">
        <f t="shared" si="15"/>
        <v>1000</v>
      </c>
      <c r="J263" s="84"/>
      <c r="K263" s="53">
        <f t="shared" si="14"/>
        <v>1000</v>
      </c>
    </row>
    <row r="264" spans="1:11" ht="14.25" customHeight="1">
      <c r="A264" s="95"/>
      <c r="B264" s="95" t="s">
        <v>122</v>
      </c>
      <c r="C264" s="99"/>
      <c r="D264" s="99"/>
      <c r="E264" s="99">
        <v>2100</v>
      </c>
      <c r="F264" s="99"/>
      <c r="G264" s="99"/>
      <c r="H264" s="99"/>
      <c r="I264" s="182">
        <f t="shared" si="15"/>
        <v>2100</v>
      </c>
      <c r="J264" s="84"/>
      <c r="K264" s="53">
        <f t="shared" si="14"/>
        <v>2100</v>
      </c>
    </row>
    <row r="265" spans="1:11" ht="15" customHeight="1">
      <c r="A265" s="95"/>
      <c r="B265" s="95" t="s">
        <v>544</v>
      </c>
      <c r="C265" s="99"/>
      <c r="D265" s="99"/>
      <c r="E265" s="99">
        <v>3200</v>
      </c>
      <c r="F265" s="99"/>
      <c r="G265" s="99"/>
      <c r="H265" s="99"/>
      <c r="I265" s="182">
        <f t="shared" si="15"/>
        <v>3200</v>
      </c>
      <c r="J265" s="84"/>
      <c r="K265" s="53">
        <f t="shared" si="14"/>
        <v>3200</v>
      </c>
    </row>
    <row r="266" spans="1:12" s="86" customFormat="1" ht="32.25" customHeight="1">
      <c r="A266" s="96" t="s">
        <v>545</v>
      </c>
      <c r="B266" s="97" t="s">
        <v>546</v>
      </c>
      <c r="C266" s="98"/>
      <c r="D266" s="98"/>
      <c r="E266" s="98">
        <f>E267+E274+E284+E307+E389+E392</f>
        <v>4236803</v>
      </c>
      <c r="F266" s="98">
        <f>F267+F274+F284+F307+F389+F392</f>
        <v>16415</v>
      </c>
      <c r="G266" s="99"/>
      <c r="H266" s="127">
        <f>H267+H274+H284+H307+H389+H392</f>
        <v>0</v>
      </c>
      <c r="I266" s="181">
        <f t="shared" si="15"/>
        <v>4236803</v>
      </c>
      <c r="J266" s="181">
        <f t="shared" si="15"/>
        <v>16415</v>
      </c>
      <c r="K266" s="195">
        <f t="shared" si="14"/>
        <v>4253218</v>
      </c>
      <c r="L266" s="74"/>
    </row>
    <row r="267" spans="1:12" ht="32.25" customHeight="1">
      <c r="A267" s="96" t="s">
        <v>547</v>
      </c>
      <c r="B267" s="97" t="s">
        <v>548</v>
      </c>
      <c r="C267" s="98"/>
      <c r="D267" s="98"/>
      <c r="E267" s="98">
        <f>SUM(E268:E273)</f>
        <v>1718129</v>
      </c>
      <c r="F267" s="98"/>
      <c r="G267" s="98"/>
      <c r="H267" s="98"/>
      <c r="I267" s="181">
        <f t="shared" si="15"/>
        <v>1718129</v>
      </c>
      <c r="J267" s="84"/>
      <c r="K267" s="195">
        <f t="shared" si="14"/>
        <v>1718129</v>
      </c>
      <c r="L267" s="86"/>
    </row>
    <row r="268" spans="1:14" ht="15" customHeight="1">
      <c r="A268" s="95"/>
      <c r="B268" s="94" t="s">
        <v>53</v>
      </c>
      <c r="C268" s="99"/>
      <c r="D268" s="99"/>
      <c r="E268" s="92">
        <v>1161994</v>
      </c>
      <c r="F268" s="92"/>
      <c r="G268" s="99"/>
      <c r="H268" s="99"/>
      <c r="I268" s="182">
        <f t="shared" si="15"/>
        <v>1161994</v>
      </c>
      <c r="J268" s="186"/>
      <c r="K268" s="53">
        <f t="shared" si="14"/>
        <v>1161994</v>
      </c>
      <c r="M268" s="141"/>
      <c r="N268" s="141"/>
    </row>
    <row r="269" spans="1:11" ht="15" customHeight="1">
      <c r="A269" s="95"/>
      <c r="B269" s="94" t="s">
        <v>84</v>
      </c>
      <c r="C269" s="99"/>
      <c r="D269" s="99"/>
      <c r="E269" s="99">
        <v>10796</v>
      </c>
      <c r="F269" s="99"/>
      <c r="G269" s="99"/>
      <c r="H269" s="99"/>
      <c r="I269" s="182">
        <f t="shared" si="15"/>
        <v>10796</v>
      </c>
      <c r="J269" s="84"/>
      <c r="K269" s="53">
        <f t="shared" si="14"/>
        <v>10796</v>
      </c>
    </row>
    <row r="270" spans="1:11" ht="15" customHeight="1">
      <c r="A270" s="95"/>
      <c r="B270" s="94" t="s">
        <v>510</v>
      </c>
      <c r="C270" s="99"/>
      <c r="D270" s="99"/>
      <c r="E270" s="92">
        <v>164000</v>
      </c>
      <c r="F270" s="92"/>
      <c r="G270" s="99"/>
      <c r="H270" s="99"/>
      <c r="I270" s="182">
        <f t="shared" si="15"/>
        <v>164000</v>
      </c>
      <c r="J270" s="84"/>
      <c r="K270" s="53">
        <f t="shared" si="14"/>
        <v>164000</v>
      </c>
    </row>
    <row r="271" spans="1:11" ht="15" customHeight="1">
      <c r="A271" s="95"/>
      <c r="B271" s="114" t="s">
        <v>130</v>
      </c>
      <c r="C271" s="99"/>
      <c r="D271" s="99"/>
      <c r="E271" s="99">
        <v>215220</v>
      </c>
      <c r="F271" s="99"/>
      <c r="G271" s="99"/>
      <c r="H271" s="99"/>
      <c r="I271" s="182">
        <f t="shared" si="15"/>
        <v>215220</v>
      </c>
      <c r="J271" s="84"/>
      <c r="K271" s="53">
        <f t="shared" si="14"/>
        <v>215220</v>
      </c>
    </row>
    <row r="272" spans="1:11" ht="15" customHeight="1">
      <c r="A272" s="95"/>
      <c r="B272" s="114" t="s">
        <v>131</v>
      </c>
      <c r="C272" s="99"/>
      <c r="D272" s="99"/>
      <c r="E272" s="99">
        <v>155308</v>
      </c>
      <c r="F272" s="99"/>
      <c r="G272" s="99"/>
      <c r="H272" s="99"/>
      <c r="I272" s="182">
        <f t="shared" si="15"/>
        <v>155308</v>
      </c>
      <c r="J272" s="84"/>
      <c r="K272" s="53">
        <f t="shared" si="14"/>
        <v>155308</v>
      </c>
    </row>
    <row r="273" spans="1:11" ht="15" customHeight="1">
      <c r="A273" s="95"/>
      <c r="B273" s="114" t="s">
        <v>452</v>
      </c>
      <c r="C273" s="99"/>
      <c r="D273" s="99"/>
      <c r="E273" s="99">
        <v>10811</v>
      </c>
      <c r="F273" s="99"/>
      <c r="G273" s="99"/>
      <c r="H273" s="99"/>
      <c r="I273" s="182">
        <f t="shared" si="15"/>
        <v>10811</v>
      </c>
      <c r="J273" s="84"/>
      <c r="K273" s="53">
        <f t="shared" si="14"/>
        <v>10811</v>
      </c>
    </row>
    <row r="274" spans="1:12" s="86" customFormat="1" ht="29.25" customHeight="1">
      <c r="A274" s="96" t="s">
        <v>549</v>
      </c>
      <c r="B274" s="97" t="s">
        <v>550</v>
      </c>
      <c r="C274" s="98"/>
      <c r="D274" s="98"/>
      <c r="E274" s="98">
        <f>SUM(E275:E283)</f>
        <v>510</v>
      </c>
      <c r="F274" s="98"/>
      <c r="G274" s="98"/>
      <c r="H274" s="98"/>
      <c r="I274" s="181">
        <f t="shared" si="15"/>
        <v>510</v>
      </c>
      <c r="J274" s="83"/>
      <c r="K274" s="195">
        <f t="shared" si="14"/>
        <v>510</v>
      </c>
      <c r="L274" s="74"/>
    </row>
    <row r="275" spans="1:12" ht="15" customHeight="1">
      <c r="A275" s="95"/>
      <c r="B275" s="114" t="s">
        <v>30</v>
      </c>
      <c r="C275" s="99"/>
      <c r="D275" s="99"/>
      <c r="E275" s="99">
        <v>150</v>
      </c>
      <c r="F275" s="99"/>
      <c r="G275" s="99"/>
      <c r="H275" s="99"/>
      <c r="I275" s="182">
        <f t="shared" si="15"/>
        <v>150</v>
      </c>
      <c r="J275" s="84"/>
      <c r="K275" s="53">
        <f t="shared" si="14"/>
        <v>150</v>
      </c>
      <c r="L275" s="86"/>
    </row>
    <row r="276" spans="1:11" ht="15" customHeight="1">
      <c r="A276" s="95"/>
      <c r="B276" s="114" t="s">
        <v>551</v>
      </c>
      <c r="C276" s="99"/>
      <c r="D276" s="99"/>
      <c r="E276" s="99">
        <v>50</v>
      </c>
      <c r="F276" s="99"/>
      <c r="G276" s="99"/>
      <c r="H276" s="99"/>
      <c r="I276" s="182">
        <f t="shared" si="15"/>
        <v>50</v>
      </c>
      <c r="J276" s="84"/>
      <c r="K276" s="53">
        <f t="shared" si="14"/>
        <v>50</v>
      </c>
    </row>
    <row r="277" spans="1:11" ht="15" customHeight="1">
      <c r="A277" s="95"/>
      <c r="B277" s="114" t="s">
        <v>153</v>
      </c>
      <c r="C277" s="99"/>
      <c r="D277" s="99"/>
      <c r="E277" s="99">
        <v>10</v>
      </c>
      <c r="F277" s="99"/>
      <c r="G277" s="99"/>
      <c r="H277" s="99"/>
      <c r="I277" s="182">
        <f t="shared" si="15"/>
        <v>10</v>
      </c>
      <c r="J277" s="84"/>
      <c r="K277" s="53">
        <f t="shared" si="14"/>
        <v>10</v>
      </c>
    </row>
    <row r="278" spans="1:11" ht="15" customHeight="1">
      <c r="A278" s="95"/>
      <c r="B278" s="114" t="s">
        <v>552</v>
      </c>
      <c r="C278" s="99"/>
      <c r="D278" s="99"/>
      <c r="E278" s="99">
        <v>50</v>
      </c>
      <c r="F278" s="99"/>
      <c r="G278" s="99"/>
      <c r="H278" s="99"/>
      <c r="I278" s="182">
        <f t="shared" si="15"/>
        <v>50</v>
      </c>
      <c r="J278" s="84"/>
      <c r="K278" s="53">
        <f t="shared" si="14"/>
        <v>50</v>
      </c>
    </row>
    <row r="279" spans="1:11" ht="15" customHeight="1">
      <c r="A279" s="95"/>
      <c r="B279" s="114" t="s">
        <v>493</v>
      </c>
      <c r="C279" s="99"/>
      <c r="D279" s="99"/>
      <c r="E279" s="99">
        <v>50</v>
      </c>
      <c r="F279" s="99"/>
      <c r="G279" s="99"/>
      <c r="H279" s="99"/>
      <c r="I279" s="182">
        <f t="shared" si="15"/>
        <v>50</v>
      </c>
      <c r="J279" s="84"/>
      <c r="K279" s="53">
        <f t="shared" si="14"/>
        <v>50</v>
      </c>
    </row>
    <row r="280" spans="1:11" ht="15" customHeight="1">
      <c r="A280" s="95"/>
      <c r="B280" s="114" t="s">
        <v>553</v>
      </c>
      <c r="C280" s="99"/>
      <c r="D280" s="99"/>
      <c r="E280" s="99">
        <v>50</v>
      </c>
      <c r="F280" s="99"/>
      <c r="G280" s="99"/>
      <c r="H280" s="99"/>
      <c r="I280" s="182">
        <f t="shared" si="15"/>
        <v>50</v>
      </c>
      <c r="J280" s="84"/>
      <c r="K280" s="53">
        <f t="shared" si="14"/>
        <v>50</v>
      </c>
    </row>
    <row r="281" spans="1:11" ht="15" customHeight="1">
      <c r="A281" s="95"/>
      <c r="B281" s="114" t="s">
        <v>128</v>
      </c>
      <c r="C281" s="99"/>
      <c r="D281" s="99"/>
      <c r="E281" s="99">
        <v>50</v>
      </c>
      <c r="F281" s="99"/>
      <c r="G281" s="99"/>
      <c r="H281" s="99"/>
      <c r="I281" s="182">
        <f t="shared" si="15"/>
        <v>50</v>
      </c>
      <c r="J281" s="84"/>
      <c r="K281" s="53">
        <f t="shared" si="14"/>
        <v>50</v>
      </c>
    </row>
    <row r="282" spans="1:11" ht="15" customHeight="1">
      <c r="A282" s="95"/>
      <c r="B282" s="114" t="s">
        <v>554</v>
      </c>
      <c r="C282" s="99"/>
      <c r="D282" s="99"/>
      <c r="E282" s="99">
        <v>50</v>
      </c>
      <c r="F282" s="99"/>
      <c r="G282" s="99"/>
      <c r="H282" s="99"/>
      <c r="I282" s="182">
        <f t="shared" si="15"/>
        <v>50</v>
      </c>
      <c r="J282" s="84"/>
      <c r="K282" s="53">
        <f t="shared" si="14"/>
        <v>50</v>
      </c>
    </row>
    <row r="283" spans="1:11" ht="15" customHeight="1">
      <c r="A283" s="95"/>
      <c r="B283" s="114" t="s">
        <v>555</v>
      </c>
      <c r="C283" s="99"/>
      <c r="D283" s="99"/>
      <c r="E283" s="99">
        <v>50</v>
      </c>
      <c r="F283" s="99"/>
      <c r="G283" s="99"/>
      <c r="H283" s="99"/>
      <c r="I283" s="182">
        <f t="shared" si="15"/>
        <v>50</v>
      </c>
      <c r="J283" s="84"/>
      <c r="K283" s="53">
        <f t="shared" si="14"/>
        <v>50</v>
      </c>
    </row>
    <row r="284" spans="1:11" ht="15" customHeight="1">
      <c r="A284" s="96" t="s">
        <v>556</v>
      </c>
      <c r="B284" s="96" t="s">
        <v>557</v>
      </c>
      <c r="C284" s="98"/>
      <c r="D284" s="98"/>
      <c r="E284" s="98">
        <f>SUM(E285:E306)</f>
        <v>81938</v>
      </c>
      <c r="F284" s="98"/>
      <c r="G284" s="98"/>
      <c r="H284" s="98"/>
      <c r="I284" s="181">
        <f t="shared" si="15"/>
        <v>81938</v>
      </c>
      <c r="J284" s="83"/>
      <c r="K284" s="195">
        <f t="shared" si="14"/>
        <v>81938</v>
      </c>
    </row>
    <row r="285" spans="1:11" ht="15" customHeight="1">
      <c r="A285" s="95"/>
      <c r="B285" s="116" t="s">
        <v>794</v>
      </c>
      <c r="C285" s="99"/>
      <c r="D285" s="99"/>
      <c r="E285" s="99">
        <v>37736</v>
      </c>
      <c r="F285" s="99"/>
      <c r="G285" s="99"/>
      <c r="H285" s="99"/>
      <c r="I285" s="182">
        <f t="shared" si="15"/>
        <v>37736</v>
      </c>
      <c r="J285" s="84"/>
      <c r="K285" s="53">
        <f t="shared" si="14"/>
        <v>37736</v>
      </c>
    </row>
    <row r="286" spans="1:11" ht="15" customHeight="1">
      <c r="A286" s="95"/>
      <c r="B286" s="116" t="s">
        <v>795</v>
      </c>
      <c r="C286" s="99"/>
      <c r="D286" s="99"/>
      <c r="E286" s="99">
        <v>1800</v>
      </c>
      <c r="F286" s="99"/>
      <c r="G286" s="99"/>
      <c r="H286" s="99"/>
      <c r="I286" s="182">
        <f t="shared" si="15"/>
        <v>1800</v>
      </c>
      <c r="J286" s="84"/>
      <c r="K286" s="53">
        <f t="shared" si="14"/>
        <v>1800</v>
      </c>
    </row>
    <row r="287" spans="1:11" ht="15" customHeight="1">
      <c r="A287" s="95"/>
      <c r="B287" s="116" t="s">
        <v>558</v>
      </c>
      <c r="C287" s="99"/>
      <c r="D287" s="99"/>
      <c r="E287" s="99">
        <v>2800</v>
      </c>
      <c r="F287" s="99"/>
      <c r="G287" s="99"/>
      <c r="H287" s="99"/>
      <c r="I287" s="182">
        <f t="shared" si="15"/>
        <v>2800</v>
      </c>
      <c r="J287" s="84"/>
      <c r="K287" s="53">
        <f t="shared" si="14"/>
        <v>2800</v>
      </c>
    </row>
    <row r="288" spans="1:11" ht="15" customHeight="1">
      <c r="A288" s="95"/>
      <c r="B288" s="116" t="s">
        <v>308</v>
      </c>
      <c r="C288" s="99"/>
      <c r="D288" s="99"/>
      <c r="E288" s="99">
        <v>400</v>
      </c>
      <c r="F288" s="99"/>
      <c r="G288" s="99"/>
      <c r="H288" s="99"/>
      <c r="I288" s="182">
        <f t="shared" si="15"/>
        <v>400</v>
      </c>
      <c r="J288" s="84"/>
      <c r="K288" s="53">
        <f t="shared" si="14"/>
        <v>400</v>
      </c>
    </row>
    <row r="289" spans="1:11" ht="15" customHeight="1">
      <c r="A289" s="95"/>
      <c r="B289" s="116" t="s">
        <v>39</v>
      </c>
      <c r="C289" s="99"/>
      <c r="D289" s="99"/>
      <c r="E289" s="99">
        <v>200</v>
      </c>
      <c r="F289" s="99"/>
      <c r="G289" s="99"/>
      <c r="H289" s="99"/>
      <c r="I289" s="182">
        <f t="shared" si="15"/>
        <v>200</v>
      </c>
      <c r="J289" s="84"/>
      <c r="K289" s="53">
        <f t="shared" si="14"/>
        <v>200</v>
      </c>
    </row>
    <row r="290" spans="1:11" ht="15" customHeight="1">
      <c r="A290" s="95"/>
      <c r="B290" s="116" t="s">
        <v>559</v>
      </c>
      <c r="C290" s="99"/>
      <c r="D290" s="99"/>
      <c r="E290" s="99">
        <v>2467</v>
      </c>
      <c r="F290" s="99"/>
      <c r="G290" s="99"/>
      <c r="H290" s="99"/>
      <c r="I290" s="182">
        <f t="shared" si="16" ref="I290:I323">E290</f>
        <v>2467</v>
      </c>
      <c r="J290" s="84"/>
      <c r="K290" s="53">
        <f t="shared" si="14"/>
        <v>2467</v>
      </c>
    </row>
    <row r="291" spans="1:11" ht="15" customHeight="1">
      <c r="A291" s="95"/>
      <c r="B291" s="116" t="s">
        <v>475</v>
      </c>
      <c r="C291" s="99"/>
      <c r="D291" s="99"/>
      <c r="E291" s="99">
        <v>6000</v>
      </c>
      <c r="F291" s="99"/>
      <c r="G291" s="99"/>
      <c r="H291" s="99"/>
      <c r="I291" s="182">
        <f t="shared" si="16"/>
        <v>6000</v>
      </c>
      <c r="J291" s="84"/>
      <c r="K291" s="53">
        <f t="shared" si="14"/>
        <v>6000</v>
      </c>
    </row>
    <row r="292" spans="1:11" ht="15" customHeight="1">
      <c r="A292" s="95"/>
      <c r="B292" s="116" t="s">
        <v>694</v>
      </c>
      <c r="C292" s="99"/>
      <c r="D292" s="99"/>
      <c r="E292" s="99">
        <v>200</v>
      </c>
      <c r="F292" s="99"/>
      <c r="G292" s="99"/>
      <c r="H292" s="99"/>
      <c r="I292" s="182">
        <f t="shared" si="16"/>
        <v>200</v>
      </c>
      <c r="J292" s="84"/>
      <c r="K292" s="53">
        <f t="shared" si="14"/>
        <v>200</v>
      </c>
    </row>
    <row r="293" spans="1:11" ht="15" customHeight="1">
      <c r="A293" s="95"/>
      <c r="B293" s="116" t="s">
        <v>159</v>
      </c>
      <c r="C293" s="99"/>
      <c r="D293" s="99"/>
      <c r="E293" s="99">
        <v>4900</v>
      </c>
      <c r="F293" s="99"/>
      <c r="G293" s="99"/>
      <c r="H293" s="99"/>
      <c r="I293" s="182">
        <f t="shared" si="16"/>
        <v>4900</v>
      </c>
      <c r="J293" s="84"/>
      <c r="K293" s="53">
        <f t="shared" si="17" ref="K293:K356">I293+J293</f>
        <v>4900</v>
      </c>
    </row>
    <row r="294" spans="1:11" ht="15" customHeight="1">
      <c r="A294" s="95"/>
      <c r="B294" s="116" t="s">
        <v>207</v>
      </c>
      <c r="C294" s="99"/>
      <c r="D294" s="99"/>
      <c r="E294" s="99">
        <v>560</v>
      </c>
      <c r="F294" s="99"/>
      <c r="G294" s="99"/>
      <c r="H294" s="99"/>
      <c r="I294" s="182">
        <f t="shared" si="16"/>
        <v>560</v>
      </c>
      <c r="J294" s="84"/>
      <c r="K294" s="53">
        <f t="shared" si="17"/>
        <v>560</v>
      </c>
    </row>
    <row r="295" spans="1:11" ht="15" customHeight="1">
      <c r="A295" s="95"/>
      <c r="B295" s="116" t="s">
        <v>760</v>
      </c>
      <c r="C295" s="99"/>
      <c r="D295" s="99"/>
      <c r="E295" s="99">
        <v>50</v>
      </c>
      <c r="F295" s="99"/>
      <c r="G295" s="99"/>
      <c r="H295" s="99"/>
      <c r="I295" s="182">
        <f t="shared" si="16"/>
        <v>50</v>
      </c>
      <c r="J295" s="84"/>
      <c r="K295" s="53">
        <f t="shared" si="17"/>
        <v>50</v>
      </c>
    </row>
    <row r="296" spans="1:11" ht="15" customHeight="1">
      <c r="A296" s="95"/>
      <c r="B296" s="116" t="s">
        <v>560</v>
      </c>
      <c r="C296" s="99"/>
      <c r="D296" s="99"/>
      <c r="E296" s="99">
        <v>2500</v>
      </c>
      <c r="F296" s="99"/>
      <c r="G296" s="99"/>
      <c r="H296" s="99"/>
      <c r="I296" s="182">
        <f t="shared" si="16"/>
        <v>2500</v>
      </c>
      <c r="J296" s="84"/>
      <c r="K296" s="53">
        <f t="shared" si="17"/>
        <v>2500</v>
      </c>
    </row>
    <row r="297" spans="1:12" s="86" customFormat="1" ht="24" customHeight="1">
      <c r="A297" s="95"/>
      <c r="B297" s="116" t="s">
        <v>218</v>
      </c>
      <c r="C297" s="99"/>
      <c r="D297" s="99"/>
      <c r="E297" s="99">
        <v>2740</v>
      </c>
      <c r="F297" s="99"/>
      <c r="G297" s="99"/>
      <c r="H297" s="99"/>
      <c r="I297" s="182">
        <f t="shared" si="16"/>
        <v>2740</v>
      </c>
      <c r="J297" s="84"/>
      <c r="K297" s="53">
        <f t="shared" si="17"/>
        <v>2740</v>
      </c>
      <c r="L297" s="74"/>
    </row>
    <row r="298" spans="1:11" s="86" customFormat="1" ht="15" customHeight="1">
      <c r="A298" s="95"/>
      <c r="B298" s="116" t="s">
        <v>480</v>
      </c>
      <c r="C298" s="99"/>
      <c r="D298" s="99"/>
      <c r="E298" s="99">
        <v>765</v>
      </c>
      <c r="F298" s="99"/>
      <c r="G298" s="99"/>
      <c r="H298" s="99"/>
      <c r="I298" s="182">
        <f t="shared" si="16"/>
        <v>765</v>
      </c>
      <c r="J298" s="84"/>
      <c r="K298" s="53">
        <f t="shared" si="17"/>
        <v>765</v>
      </c>
    </row>
    <row r="299" spans="1:12" s="87" customFormat="1" ht="15" customHeight="1">
      <c r="A299" s="95"/>
      <c r="B299" s="116" t="s">
        <v>41</v>
      </c>
      <c r="C299" s="99"/>
      <c r="D299" s="99"/>
      <c r="E299" s="99">
        <v>500</v>
      </c>
      <c r="F299" s="99"/>
      <c r="G299" s="99"/>
      <c r="H299" s="99"/>
      <c r="I299" s="182">
        <f t="shared" si="16"/>
        <v>500</v>
      </c>
      <c r="J299" s="84"/>
      <c r="K299" s="53">
        <f t="shared" si="17"/>
        <v>500</v>
      </c>
      <c r="L299" s="86"/>
    </row>
    <row r="300" spans="1:12" ht="24.75" customHeight="1">
      <c r="A300" s="95"/>
      <c r="B300" s="116" t="s">
        <v>157</v>
      </c>
      <c r="C300" s="99"/>
      <c r="D300" s="99"/>
      <c r="E300" s="99">
        <v>9200</v>
      </c>
      <c r="F300" s="99"/>
      <c r="G300" s="99"/>
      <c r="H300" s="99"/>
      <c r="I300" s="182">
        <f t="shared" si="16"/>
        <v>9200</v>
      </c>
      <c r="J300" s="84"/>
      <c r="K300" s="53">
        <f t="shared" si="17"/>
        <v>9200</v>
      </c>
      <c r="L300" s="87"/>
    </row>
    <row r="301" spans="1:11" ht="15" customHeight="1">
      <c r="A301" s="95"/>
      <c r="B301" s="116" t="s">
        <v>156</v>
      </c>
      <c r="C301" s="99"/>
      <c r="D301" s="99"/>
      <c r="E301" s="99">
        <v>3500</v>
      </c>
      <c r="F301" s="99"/>
      <c r="G301" s="99"/>
      <c r="H301" s="99"/>
      <c r="I301" s="182">
        <f t="shared" si="16"/>
        <v>3500</v>
      </c>
      <c r="J301" s="84"/>
      <c r="K301" s="53">
        <f t="shared" si="17"/>
        <v>3500</v>
      </c>
    </row>
    <row r="302" spans="1:11" ht="15" customHeight="1">
      <c r="A302" s="95"/>
      <c r="B302" s="116" t="s">
        <v>82</v>
      </c>
      <c r="C302" s="99"/>
      <c r="D302" s="99"/>
      <c r="E302" s="99">
        <v>1800</v>
      </c>
      <c r="F302" s="99"/>
      <c r="G302" s="99"/>
      <c r="H302" s="99"/>
      <c r="I302" s="182">
        <f t="shared" si="16"/>
        <v>1800</v>
      </c>
      <c r="J302" s="84"/>
      <c r="K302" s="53">
        <f t="shared" si="17"/>
        <v>1800</v>
      </c>
    </row>
    <row r="303" spans="1:11" ht="15" customHeight="1">
      <c r="A303" s="95"/>
      <c r="B303" s="116" t="s">
        <v>154</v>
      </c>
      <c r="C303" s="99"/>
      <c r="D303" s="99"/>
      <c r="E303" s="99">
        <v>150</v>
      </c>
      <c r="F303" s="99"/>
      <c r="G303" s="99"/>
      <c r="H303" s="99"/>
      <c r="I303" s="182">
        <f t="shared" si="16"/>
        <v>150</v>
      </c>
      <c r="J303" s="84"/>
      <c r="K303" s="53">
        <f t="shared" si="17"/>
        <v>150</v>
      </c>
    </row>
    <row r="304" spans="1:11" ht="15" customHeight="1">
      <c r="A304" s="95"/>
      <c r="B304" s="116" t="s">
        <v>135</v>
      </c>
      <c r="C304" s="99"/>
      <c r="D304" s="99"/>
      <c r="E304" s="99">
        <v>370</v>
      </c>
      <c r="F304" s="99"/>
      <c r="G304" s="99"/>
      <c r="H304" s="99"/>
      <c r="I304" s="182">
        <f t="shared" si="16"/>
        <v>370</v>
      </c>
      <c r="J304" s="84"/>
      <c r="K304" s="53">
        <f t="shared" si="17"/>
        <v>370</v>
      </c>
    </row>
    <row r="305" spans="1:11" ht="19.5" customHeight="1">
      <c r="A305" s="95"/>
      <c r="B305" s="116" t="s">
        <v>160</v>
      </c>
      <c r="C305" s="99"/>
      <c r="D305" s="99"/>
      <c r="E305" s="99">
        <v>1500</v>
      </c>
      <c r="F305" s="99"/>
      <c r="G305" s="99"/>
      <c r="H305" s="99"/>
      <c r="I305" s="182">
        <f t="shared" si="16"/>
        <v>1500</v>
      </c>
      <c r="J305" s="84"/>
      <c r="K305" s="53">
        <f t="shared" si="17"/>
        <v>1500</v>
      </c>
    </row>
    <row r="306" spans="1:11" ht="15" customHeight="1">
      <c r="A306" s="95"/>
      <c r="B306" s="116" t="s">
        <v>561</v>
      </c>
      <c r="C306" s="99"/>
      <c r="D306" s="99"/>
      <c r="E306" s="99">
        <v>1800</v>
      </c>
      <c r="F306" s="99"/>
      <c r="G306" s="99"/>
      <c r="H306" s="99"/>
      <c r="I306" s="182">
        <f t="shared" si="16"/>
        <v>1800</v>
      </c>
      <c r="J306" s="84"/>
      <c r="K306" s="53">
        <f t="shared" si="17"/>
        <v>1800</v>
      </c>
    </row>
    <row r="307" spans="1:11" ht="33" customHeight="1">
      <c r="A307" s="96" t="s">
        <v>562</v>
      </c>
      <c r="B307" s="97" t="s">
        <v>563</v>
      </c>
      <c r="C307" s="98"/>
      <c r="D307" s="98"/>
      <c r="E307" s="98">
        <f>E308+E380</f>
        <v>2108586</v>
      </c>
      <c r="F307" s="98"/>
      <c r="G307" s="98"/>
      <c r="H307" s="98"/>
      <c r="I307" s="181">
        <f t="shared" si="16"/>
        <v>2108586</v>
      </c>
      <c r="J307" s="174"/>
      <c r="K307" s="195">
        <f t="shared" si="17"/>
        <v>2108586</v>
      </c>
    </row>
    <row r="308" spans="1:11" ht="30" customHeight="1">
      <c r="A308" s="96" t="s">
        <v>566</v>
      </c>
      <c r="B308" s="97" t="s">
        <v>567</v>
      </c>
      <c r="C308" s="98"/>
      <c r="D308" s="98"/>
      <c r="E308" s="98">
        <f>SUM(E309:E379)</f>
        <v>1322579</v>
      </c>
      <c r="F308" s="98"/>
      <c r="G308" s="98"/>
      <c r="H308" s="98"/>
      <c r="I308" s="181">
        <f t="shared" si="16"/>
        <v>1322579</v>
      </c>
      <c r="J308" s="83"/>
      <c r="K308" s="195">
        <f t="shared" si="17"/>
        <v>1322579</v>
      </c>
    </row>
    <row r="309" spans="1:11" ht="20.25" customHeight="1">
      <c r="A309" s="95"/>
      <c r="B309" s="94" t="s">
        <v>564</v>
      </c>
      <c r="C309" s="99"/>
      <c r="D309" s="99"/>
      <c r="E309" s="99">
        <v>7240</v>
      </c>
      <c r="F309" s="99"/>
      <c r="G309" s="99"/>
      <c r="H309" s="99"/>
      <c r="I309" s="182">
        <f t="shared" si="16"/>
        <v>7240</v>
      </c>
      <c r="J309" s="186"/>
      <c r="K309" s="53">
        <f t="shared" si="17"/>
        <v>7240</v>
      </c>
    </row>
    <row r="310" spans="1:11" ht="15" customHeight="1">
      <c r="A310" s="95"/>
      <c r="B310" s="114" t="s">
        <v>534</v>
      </c>
      <c r="C310" s="99"/>
      <c r="D310" s="99"/>
      <c r="E310" s="99">
        <v>4200</v>
      </c>
      <c r="F310" s="99"/>
      <c r="G310" s="99"/>
      <c r="H310" s="99"/>
      <c r="I310" s="182">
        <f t="shared" si="16"/>
        <v>4200</v>
      </c>
      <c r="J310" s="84"/>
      <c r="K310" s="53">
        <f t="shared" si="17"/>
        <v>4200</v>
      </c>
    </row>
    <row r="311" spans="1:11" ht="15" customHeight="1">
      <c r="A311" s="95"/>
      <c r="B311" s="114" t="s">
        <v>797</v>
      </c>
      <c r="C311" s="99"/>
      <c r="D311" s="99"/>
      <c r="E311" s="99">
        <f>226432+282536+217219</f>
        <v>726187</v>
      </c>
      <c r="F311" s="99"/>
      <c r="G311" s="99"/>
      <c r="H311" s="99"/>
      <c r="I311" s="182">
        <f t="shared" si="16"/>
        <v>726187</v>
      </c>
      <c r="J311" s="84"/>
      <c r="K311" s="53">
        <f t="shared" si="17"/>
        <v>726187</v>
      </c>
    </row>
    <row r="312" spans="1:11" ht="15" customHeight="1">
      <c r="A312" s="95"/>
      <c r="B312" s="114" t="s">
        <v>794</v>
      </c>
      <c r="C312" s="99"/>
      <c r="D312" s="99"/>
      <c r="E312" s="99">
        <v>365</v>
      </c>
      <c r="F312" s="99"/>
      <c r="G312" s="99"/>
      <c r="H312" s="99"/>
      <c r="I312" s="182">
        <f t="shared" si="16"/>
        <v>365</v>
      </c>
      <c r="J312" s="186"/>
      <c r="K312" s="53">
        <f t="shared" si="17"/>
        <v>365</v>
      </c>
    </row>
    <row r="313" spans="1:11" ht="15" customHeight="1">
      <c r="A313" s="95"/>
      <c r="B313" s="114" t="s">
        <v>796</v>
      </c>
      <c r="C313" s="99"/>
      <c r="D313" s="99"/>
      <c r="E313" s="99">
        <v>5500</v>
      </c>
      <c r="F313" s="99"/>
      <c r="G313" s="99"/>
      <c r="H313" s="99"/>
      <c r="I313" s="182">
        <f t="shared" si="16"/>
        <v>5500</v>
      </c>
      <c r="J313" s="84"/>
      <c r="K313" s="53">
        <f t="shared" si="17"/>
        <v>5500</v>
      </c>
    </row>
    <row r="314" spans="1:11" ht="15" customHeight="1">
      <c r="A314" s="95"/>
      <c r="B314" s="114" t="s">
        <v>48</v>
      </c>
      <c r="C314" s="99"/>
      <c r="D314" s="99"/>
      <c r="E314" s="99">
        <v>3000</v>
      </c>
      <c r="F314" s="99"/>
      <c r="G314" s="99"/>
      <c r="H314" s="99"/>
      <c r="I314" s="182">
        <f t="shared" si="16"/>
        <v>3000</v>
      </c>
      <c r="J314" s="84"/>
      <c r="K314" s="53">
        <f t="shared" si="17"/>
        <v>3000</v>
      </c>
    </row>
    <row r="315" spans="1:11" ht="15" customHeight="1">
      <c r="A315" s="95"/>
      <c r="B315" s="114" t="s">
        <v>743</v>
      </c>
      <c r="C315" s="99"/>
      <c r="D315" s="99"/>
      <c r="E315" s="99">
        <v>180</v>
      </c>
      <c r="F315" s="99"/>
      <c r="G315" s="99"/>
      <c r="H315" s="99"/>
      <c r="I315" s="182">
        <f t="shared" si="16"/>
        <v>180</v>
      </c>
      <c r="J315" s="84"/>
      <c r="K315" s="53">
        <f t="shared" si="17"/>
        <v>180</v>
      </c>
    </row>
    <row r="316" spans="1:11" ht="30" customHeight="1">
      <c r="A316" s="95"/>
      <c r="B316" s="114" t="s">
        <v>750</v>
      </c>
      <c r="C316" s="99"/>
      <c r="D316" s="99"/>
      <c r="E316" s="99">
        <v>950</v>
      </c>
      <c r="F316" s="99"/>
      <c r="G316" s="99"/>
      <c r="H316" s="99"/>
      <c r="I316" s="182">
        <f t="shared" si="16"/>
        <v>950</v>
      </c>
      <c r="J316" s="84"/>
      <c r="K316" s="53">
        <f t="shared" si="17"/>
        <v>950</v>
      </c>
    </row>
    <row r="317" spans="1:11" ht="30" customHeight="1">
      <c r="A317" s="95"/>
      <c r="B317" s="114" t="s">
        <v>800</v>
      </c>
      <c r="C317" s="99"/>
      <c r="D317" s="99"/>
      <c r="E317" s="99">
        <v>13500</v>
      </c>
      <c r="F317" s="99"/>
      <c r="G317" s="99"/>
      <c r="H317" s="99"/>
      <c r="I317" s="182">
        <f t="shared" si="16"/>
        <v>13500</v>
      </c>
      <c r="J317" s="84"/>
      <c r="K317" s="53">
        <f t="shared" si="17"/>
        <v>13500</v>
      </c>
    </row>
    <row r="318" spans="1:11" ht="26.25" customHeight="1">
      <c r="A318" s="95"/>
      <c r="B318" s="114" t="s">
        <v>799</v>
      </c>
      <c r="C318" s="99"/>
      <c r="D318" s="99"/>
      <c r="E318" s="99">
        <v>9100</v>
      </c>
      <c r="F318" s="99"/>
      <c r="G318" s="99"/>
      <c r="H318" s="99"/>
      <c r="I318" s="182">
        <f t="shared" si="16"/>
        <v>9100</v>
      </c>
      <c r="J318" s="84"/>
      <c r="K318" s="53">
        <f t="shared" si="17"/>
        <v>9100</v>
      </c>
    </row>
    <row r="319" spans="1:11" ht="15" customHeight="1">
      <c r="A319" s="95"/>
      <c r="B319" s="114" t="s">
        <v>798</v>
      </c>
      <c r="C319" s="99"/>
      <c r="D319" s="99"/>
      <c r="E319" s="99">
        <v>10600</v>
      </c>
      <c r="F319" s="99"/>
      <c r="G319" s="99"/>
      <c r="H319" s="99"/>
      <c r="I319" s="182">
        <f t="shared" si="16"/>
        <v>10600</v>
      </c>
      <c r="J319" s="84"/>
      <c r="K319" s="53">
        <f t="shared" si="17"/>
        <v>10600</v>
      </c>
    </row>
    <row r="320" spans="1:11" ht="15" customHeight="1">
      <c r="A320" s="95"/>
      <c r="B320" s="114" t="s">
        <v>775</v>
      </c>
      <c r="C320" s="99"/>
      <c r="D320" s="99"/>
      <c r="E320" s="99">
        <v>12000</v>
      </c>
      <c r="F320" s="99"/>
      <c r="G320" s="99"/>
      <c r="H320" s="99"/>
      <c r="I320" s="182">
        <f t="shared" si="16"/>
        <v>12000</v>
      </c>
      <c r="J320" s="84"/>
      <c r="K320" s="53">
        <f t="shared" si="17"/>
        <v>12000</v>
      </c>
    </row>
    <row r="321" spans="1:11" ht="34.5" customHeight="1">
      <c r="A321" s="95"/>
      <c r="B321" s="114" t="s">
        <v>5</v>
      </c>
      <c r="C321" s="99"/>
      <c r="D321" s="99"/>
      <c r="E321" s="99">
        <v>600</v>
      </c>
      <c r="F321" s="99"/>
      <c r="G321" s="99"/>
      <c r="H321" s="99"/>
      <c r="I321" s="182">
        <f t="shared" si="16"/>
        <v>600</v>
      </c>
      <c r="J321" s="84"/>
      <c r="K321" s="53">
        <f t="shared" si="17"/>
        <v>600</v>
      </c>
    </row>
    <row r="322" spans="1:11" ht="20.25" customHeight="1">
      <c r="A322" s="95"/>
      <c r="B322" s="116" t="s">
        <v>93</v>
      </c>
      <c r="C322" s="99"/>
      <c r="D322" s="99"/>
      <c r="E322" s="92">
        <v>700</v>
      </c>
      <c r="F322" s="92"/>
      <c r="G322" s="99"/>
      <c r="H322" s="99"/>
      <c r="I322" s="182">
        <f t="shared" si="16"/>
        <v>700</v>
      </c>
      <c r="J322" s="84"/>
      <c r="K322" s="53">
        <f t="shared" si="17"/>
        <v>700</v>
      </c>
    </row>
    <row r="323" spans="1:11" ht="20.25" customHeight="1">
      <c r="A323" s="95"/>
      <c r="B323" s="116" t="s">
        <v>156</v>
      </c>
      <c r="C323" s="99"/>
      <c r="D323" s="99"/>
      <c r="E323" s="92">
        <v>70</v>
      </c>
      <c r="F323" s="92"/>
      <c r="G323" s="99"/>
      <c r="H323" s="99"/>
      <c r="I323" s="182">
        <f t="shared" si="16"/>
        <v>70</v>
      </c>
      <c r="J323" s="84"/>
      <c r="K323" s="53">
        <f t="shared" si="17"/>
        <v>70</v>
      </c>
    </row>
    <row r="324" spans="1:11" ht="36" customHeight="1">
      <c r="A324" s="95"/>
      <c r="B324" s="114" t="s">
        <v>310</v>
      </c>
      <c r="C324" s="99"/>
      <c r="D324" s="99"/>
      <c r="E324" s="92">
        <v>450</v>
      </c>
      <c r="F324" s="92"/>
      <c r="G324" s="99"/>
      <c r="H324" s="99"/>
      <c r="I324" s="182"/>
      <c r="J324" s="84"/>
      <c r="K324" s="53">
        <f t="shared" si="17"/>
        <v>0</v>
      </c>
    </row>
    <row r="325" spans="1:11" ht="32.25" customHeight="1">
      <c r="A325" s="95"/>
      <c r="B325" s="114" t="s">
        <v>801</v>
      </c>
      <c r="C325" s="99"/>
      <c r="D325" s="99"/>
      <c r="E325" s="92">
        <v>2280</v>
      </c>
      <c r="F325" s="92"/>
      <c r="G325" s="99"/>
      <c r="H325" s="99"/>
      <c r="I325" s="182">
        <f t="shared" si="18" ref="I325:I356">E325</f>
        <v>2280</v>
      </c>
      <c r="J325" s="84"/>
      <c r="K325" s="53">
        <f t="shared" si="17"/>
        <v>2280</v>
      </c>
    </row>
    <row r="326" spans="1:11" ht="30.75" customHeight="1">
      <c r="A326" s="95"/>
      <c r="B326" s="114" t="s">
        <v>802</v>
      </c>
      <c r="C326" s="99"/>
      <c r="D326" s="99"/>
      <c r="E326" s="99">
        <v>56675</v>
      </c>
      <c r="F326" s="99"/>
      <c r="G326" s="99"/>
      <c r="H326" s="99"/>
      <c r="I326" s="182">
        <f t="shared" si="18"/>
        <v>56675</v>
      </c>
      <c r="J326" s="84"/>
      <c r="K326" s="53">
        <f t="shared" si="17"/>
        <v>56675</v>
      </c>
    </row>
    <row r="327" spans="1:11" ht="25.15" customHeight="1">
      <c r="A327" s="95"/>
      <c r="B327" s="114" t="s">
        <v>758</v>
      </c>
      <c r="C327" s="99"/>
      <c r="D327" s="99"/>
      <c r="E327" s="99">
        <v>2850</v>
      </c>
      <c r="F327" s="99"/>
      <c r="G327" s="99"/>
      <c r="H327" s="99"/>
      <c r="I327" s="182">
        <f t="shared" si="18"/>
        <v>2850</v>
      </c>
      <c r="J327" s="84"/>
      <c r="K327" s="53">
        <f t="shared" si="17"/>
        <v>2850</v>
      </c>
    </row>
    <row r="328" spans="1:11" ht="29.25" customHeight="1">
      <c r="A328" s="95"/>
      <c r="B328" s="114" t="s">
        <v>803</v>
      </c>
      <c r="C328" s="99"/>
      <c r="D328" s="99"/>
      <c r="E328" s="99">
        <v>2590</v>
      </c>
      <c r="F328" s="99"/>
      <c r="G328" s="99"/>
      <c r="H328" s="99"/>
      <c r="I328" s="182">
        <f t="shared" si="18"/>
        <v>2590</v>
      </c>
      <c r="J328" s="84"/>
      <c r="K328" s="53">
        <f t="shared" si="17"/>
        <v>2590</v>
      </c>
    </row>
    <row r="329" spans="1:11" ht="15.75" customHeight="1">
      <c r="A329" s="95"/>
      <c r="B329" s="114" t="s">
        <v>780</v>
      </c>
      <c r="C329" s="99"/>
      <c r="D329" s="99"/>
      <c r="E329" s="99">
        <v>10804</v>
      </c>
      <c r="F329" s="99"/>
      <c r="G329" s="99"/>
      <c r="H329" s="99"/>
      <c r="I329" s="182">
        <f t="shared" si="18"/>
        <v>10804</v>
      </c>
      <c r="J329" s="84"/>
      <c r="K329" s="53">
        <f t="shared" si="17"/>
        <v>10804</v>
      </c>
    </row>
    <row r="330" spans="1:11" ht="15" customHeight="1">
      <c r="A330" s="95"/>
      <c r="B330" s="114" t="s">
        <v>804</v>
      </c>
      <c r="C330" s="99"/>
      <c r="D330" s="99"/>
      <c r="E330" s="99">
        <v>1200</v>
      </c>
      <c r="F330" s="99"/>
      <c r="G330" s="99"/>
      <c r="H330" s="99"/>
      <c r="I330" s="182">
        <f t="shared" si="18"/>
        <v>1200</v>
      </c>
      <c r="J330" s="84"/>
      <c r="K330" s="53">
        <f t="shared" si="17"/>
        <v>1200</v>
      </c>
    </row>
    <row r="331" spans="1:11" ht="15" customHeight="1">
      <c r="A331" s="95"/>
      <c r="B331" s="114" t="s">
        <v>125</v>
      </c>
      <c r="C331" s="99"/>
      <c r="D331" s="99"/>
      <c r="E331" s="99">
        <v>900</v>
      </c>
      <c r="F331" s="99"/>
      <c r="G331" s="99"/>
      <c r="H331" s="99"/>
      <c r="I331" s="182">
        <f t="shared" si="18"/>
        <v>900</v>
      </c>
      <c r="J331" s="84"/>
      <c r="K331" s="53">
        <f t="shared" si="17"/>
        <v>900</v>
      </c>
    </row>
    <row r="332" spans="1:11" ht="15" customHeight="1">
      <c r="A332" s="95"/>
      <c r="B332" s="114" t="s">
        <v>568</v>
      </c>
      <c r="C332" s="99"/>
      <c r="D332" s="99"/>
      <c r="E332" s="99">
        <v>35161</v>
      </c>
      <c r="F332" s="99"/>
      <c r="G332" s="99" t="s">
        <v>569</v>
      </c>
      <c r="H332" s="99"/>
      <c r="I332" s="182">
        <f t="shared" si="18"/>
        <v>35161</v>
      </c>
      <c r="J332" s="84"/>
      <c r="K332" s="53">
        <f t="shared" si="17"/>
        <v>35161</v>
      </c>
    </row>
    <row r="333" spans="1:11" ht="15" customHeight="1">
      <c r="A333" s="95"/>
      <c r="B333" s="114" t="s">
        <v>570</v>
      </c>
      <c r="C333" s="99"/>
      <c r="D333" s="99"/>
      <c r="E333" s="99">
        <v>21857</v>
      </c>
      <c r="F333" s="99"/>
      <c r="G333" s="99" t="s">
        <v>569</v>
      </c>
      <c r="H333" s="99"/>
      <c r="I333" s="182">
        <f t="shared" si="18"/>
        <v>21857</v>
      </c>
      <c r="J333" s="84"/>
      <c r="K333" s="53">
        <f t="shared" si="17"/>
        <v>21857</v>
      </c>
    </row>
    <row r="334" spans="1:11" ht="15" customHeight="1">
      <c r="A334" s="95"/>
      <c r="B334" s="114" t="s">
        <v>571</v>
      </c>
      <c r="C334" s="99"/>
      <c r="D334" s="99"/>
      <c r="E334" s="99">
        <v>9000</v>
      </c>
      <c r="F334" s="99"/>
      <c r="G334" s="99"/>
      <c r="H334" s="99"/>
      <c r="I334" s="182">
        <f t="shared" si="18"/>
        <v>9000</v>
      </c>
      <c r="J334" s="84"/>
      <c r="K334" s="53">
        <f t="shared" si="17"/>
        <v>9000</v>
      </c>
    </row>
    <row r="335" spans="1:11" ht="15" customHeight="1">
      <c r="A335" s="95"/>
      <c r="B335" s="114" t="s">
        <v>572</v>
      </c>
      <c r="C335" s="99"/>
      <c r="D335" s="99"/>
      <c r="E335" s="99">
        <v>69000</v>
      </c>
      <c r="F335" s="99"/>
      <c r="G335" s="99"/>
      <c r="H335" s="99"/>
      <c r="I335" s="182">
        <f t="shared" si="18"/>
        <v>69000</v>
      </c>
      <c r="J335" s="84"/>
      <c r="K335" s="53">
        <f t="shared" si="17"/>
        <v>69000</v>
      </c>
    </row>
    <row r="336" spans="1:11" ht="15" customHeight="1">
      <c r="A336" s="95"/>
      <c r="B336" s="114" t="s">
        <v>341</v>
      </c>
      <c r="C336" s="99"/>
      <c r="D336" s="99"/>
      <c r="E336" s="99">
        <v>13500</v>
      </c>
      <c r="F336" s="99"/>
      <c r="G336" s="99"/>
      <c r="H336" s="99"/>
      <c r="I336" s="182">
        <f t="shared" si="18"/>
        <v>13500</v>
      </c>
      <c r="J336" s="84"/>
      <c r="K336" s="53">
        <f t="shared" si="17"/>
        <v>13500</v>
      </c>
    </row>
    <row r="337" spans="1:11" ht="15" customHeight="1">
      <c r="A337" s="95"/>
      <c r="B337" s="114" t="s">
        <v>259</v>
      </c>
      <c r="C337" s="99"/>
      <c r="D337" s="99"/>
      <c r="E337" s="99">
        <v>28967</v>
      </c>
      <c r="F337" s="99"/>
      <c r="G337" s="99"/>
      <c r="H337" s="99"/>
      <c r="I337" s="182">
        <f t="shared" si="18"/>
        <v>28967</v>
      </c>
      <c r="J337" s="84"/>
      <c r="K337" s="53">
        <f t="shared" si="17"/>
        <v>28967</v>
      </c>
    </row>
    <row r="338" spans="1:11" ht="15" customHeight="1">
      <c r="A338" s="95"/>
      <c r="B338" s="114" t="s">
        <v>573</v>
      </c>
      <c r="C338" s="99"/>
      <c r="D338" s="99"/>
      <c r="E338" s="99">
        <v>59000</v>
      </c>
      <c r="F338" s="99"/>
      <c r="G338" s="99"/>
      <c r="H338" s="99"/>
      <c r="I338" s="182">
        <f t="shared" si="18"/>
        <v>59000</v>
      </c>
      <c r="J338" s="84"/>
      <c r="K338" s="53">
        <f t="shared" si="17"/>
        <v>59000</v>
      </c>
    </row>
    <row r="339" spans="1:11" ht="15" customHeight="1">
      <c r="A339" s="95"/>
      <c r="B339" s="114" t="s">
        <v>574</v>
      </c>
      <c r="C339" s="99"/>
      <c r="D339" s="99"/>
      <c r="E339" s="99">
        <v>2840</v>
      </c>
      <c r="F339" s="99"/>
      <c r="G339" s="99"/>
      <c r="H339" s="99"/>
      <c r="I339" s="182">
        <f t="shared" si="18"/>
        <v>2840</v>
      </c>
      <c r="J339" s="84"/>
      <c r="K339" s="53">
        <f t="shared" si="17"/>
        <v>2840</v>
      </c>
    </row>
    <row r="340" spans="1:11" ht="15" customHeight="1">
      <c r="A340" s="95"/>
      <c r="B340" s="114" t="s">
        <v>575</v>
      </c>
      <c r="C340" s="99"/>
      <c r="D340" s="99"/>
      <c r="E340" s="99">
        <v>11605</v>
      </c>
      <c r="F340" s="99"/>
      <c r="G340" s="99"/>
      <c r="H340" s="99"/>
      <c r="I340" s="182">
        <f t="shared" si="18"/>
        <v>11605</v>
      </c>
      <c r="J340" s="84"/>
      <c r="K340" s="53">
        <f t="shared" si="17"/>
        <v>11605</v>
      </c>
    </row>
    <row r="341" spans="1:11" ht="15" customHeight="1">
      <c r="A341" s="95"/>
      <c r="B341" s="114" t="s">
        <v>713</v>
      </c>
      <c r="C341" s="99"/>
      <c r="D341" s="99"/>
      <c r="E341" s="92">
        <v>2500</v>
      </c>
      <c r="F341" s="92"/>
      <c r="G341" s="99"/>
      <c r="H341" s="99"/>
      <c r="I341" s="182">
        <f t="shared" si="18"/>
        <v>2500</v>
      </c>
      <c r="J341" s="84"/>
      <c r="K341" s="53">
        <f t="shared" si="17"/>
        <v>2500</v>
      </c>
    </row>
    <row r="342" spans="1:11" ht="15" customHeight="1">
      <c r="A342" s="95"/>
      <c r="B342" s="114" t="s">
        <v>576</v>
      </c>
      <c r="C342" s="99"/>
      <c r="D342" s="99"/>
      <c r="E342" s="99">
        <v>4268</v>
      </c>
      <c r="F342" s="99"/>
      <c r="G342" s="99"/>
      <c r="H342" s="99"/>
      <c r="I342" s="182">
        <f t="shared" si="18"/>
        <v>4268</v>
      </c>
      <c r="J342" s="84"/>
      <c r="K342" s="53">
        <f t="shared" si="17"/>
        <v>4268</v>
      </c>
    </row>
    <row r="343" spans="1:11" ht="15" customHeight="1">
      <c r="A343" s="95"/>
      <c r="B343" s="114" t="s">
        <v>714</v>
      </c>
      <c r="C343" s="99"/>
      <c r="D343" s="99"/>
      <c r="E343" s="99">
        <v>2391</v>
      </c>
      <c r="F343" s="99"/>
      <c r="G343" s="99"/>
      <c r="H343" s="99"/>
      <c r="I343" s="182">
        <f t="shared" si="18"/>
        <v>2391</v>
      </c>
      <c r="J343" s="84"/>
      <c r="K343" s="53">
        <f t="shared" si="17"/>
        <v>2391</v>
      </c>
    </row>
    <row r="344" spans="1:11" ht="15" customHeight="1">
      <c r="A344" s="95"/>
      <c r="B344" s="114" t="s">
        <v>577</v>
      </c>
      <c r="C344" s="99"/>
      <c r="D344" s="99"/>
      <c r="E344" s="99">
        <v>4516</v>
      </c>
      <c r="F344" s="99"/>
      <c r="G344" s="99"/>
      <c r="H344" s="99"/>
      <c r="I344" s="182">
        <f t="shared" si="18"/>
        <v>4516</v>
      </c>
      <c r="J344" s="84"/>
      <c r="K344" s="53">
        <f t="shared" si="17"/>
        <v>4516</v>
      </c>
    </row>
    <row r="345" spans="1:11" ht="15" customHeight="1">
      <c r="A345" s="95"/>
      <c r="B345" s="114" t="s">
        <v>578</v>
      </c>
      <c r="C345" s="99"/>
      <c r="D345" s="99"/>
      <c r="E345" s="99">
        <v>5348</v>
      </c>
      <c r="F345" s="99"/>
      <c r="G345" s="99"/>
      <c r="H345" s="99"/>
      <c r="I345" s="182">
        <f t="shared" si="18"/>
        <v>5348</v>
      </c>
      <c r="J345" s="84"/>
      <c r="K345" s="53">
        <f t="shared" si="17"/>
        <v>5348</v>
      </c>
    </row>
    <row r="346" spans="1:11" ht="15" customHeight="1">
      <c r="A346" s="95"/>
      <c r="B346" s="114" t="s">
        <v>579</v>
      </c>
      <c r="C346" s="99"/>
      <c r="D346" s="99"/>
      <c r="E346" s="99">
        <v>5000</v>
      </c>
      <c r="F346" s="99"/>
      <c r="G346" s="99"/>
      <c r="H346" s="99"/>
      <c r="I346" s="182">
        <f t="shared" si="18"/>
        <v>5000</v>
      </c>
      <c r="J346" s="84"/>
      <c r="K346" s="53">
        <f t="shared" si="17"/>
        <v>5000</v>
      </c>
    </row>
    <row r="347" spans="1:11" ht="15" customHeight="1">
      <c r="A347" s="95"/>
      <c r="B347" s="114" t="s">
        <v>580</v>
      </c>
      <c r="C347" s="99"/>
      <c r="D347" s="99"/>
      <c r="E347" s="99">
        <v>3422</v>
      </c>
      <c r="F347" s="99"/>
      <c r="G347" s="99"/>
      <c r="H347" s="99"/>
      <c r="I347" s="182">
        <f t="shared" si="18"/>
        <v>3422</v>
      </c>
      <c r="J347" s="84"/>
      <c r="K347" s="53">
        <f t="shared" si="17"/>
        <v>3422</v>
      </c>
    </row>
    <row r="348" spans="1:11" ht="15" customHeight="1">
      <c r="A348" s="95"/>
      <c r="B348" s="114" t="s">
        <v>715</v>
      </c>
      <c r="C348" s="99"/>
      <c r="D348" s="99"/>
      <c r="E348" s="99">
        <v>3193</v>
      </c>
      <c r="F348" s="99"/>
      <c r="G348" s="99"/>
      <c r="H348" s="99"/>
      <c r="I348" s="182">
        <f t="shared" si="18"/>
        <v>3193</v>
      </c>
      <c r="J348" s="84"/>
      <c r="K348" s="53">
        <f t="shared" si="17"/>
        <v>3193</v>
      </c>
    </row>
    <row r="349" spans="1:11" ht="15" customHeight="1">
      <c r="A349" s="95"/>
      <c r="B349" s="114" t="s">
        <v>108</v>
      </c>
      <c r="C349" s="99"/>
      <c r="D349" s="99"/>
      <c r="E349" s="99">
        <v>7036</v>
      </c>
      <c r="F349" s="99"/>
      <c r="G349" s="99"/>
      <c r="H349" s="99"/>
      <c r="I349" s="182">
        <f t="shared" si="18"/>
        <v>7036</v>
      </c>
      <c r="J349" s="84"/>
      <c r="K349" s="53">
        <f t="shared" si="17"/>
        <v>7036</v>
      </c>
    </row>
    <row r="350" spans="1:11" ht="15.75" customHeight="1">
      <c r="A350" s="95"/>
      <c r="B350" s="114" t="s">
        <v>113</v>
      </c>
      <c r="C350" s="99"/>
      <c r="D350" s="99"/>
      <c r="E350" s="99">
        <v>2127</v>
      </c>
      <c r="F350" s="99"/>
      <c r="G350" s="99"/>
      <c r="H350" s="99"/>
      <c r="I350" s="182">
        <f t="shared" si="18"/>
        <v>2127</v>
      </c>
      <c r="J350" s="84"/>
      <c r="K350" s="53">
        <f t="shared" si="17"/>
        <v>2127</v>
      </c>
    </row>
    <row r="351" spans="1:11" ht="19.5" customHeight="1">
      <c r="A351" s="95"/>
      <c r="B351" s="114" t="s">
        <v>112</v>
      </c>
      <c r="C351" s="99"/>
      <c r="D351" s="99"/>
      <c r="E351" s="99">
        <v>2977</v>
      </c>
      <c r="F351" s="99"/>
      <c r="G351" s="99"/>
      <c r="H351" s="99"/>
      <c r="I351" s="182">
        <f t="shared" si="18"/>
        <v>2977</v>
      </c>
      <c r="J351" s="84"/>
      <c r="K351" s="53">
        <f t="shared" si="17"/>
        <v>2977</v>
      </c>
    </row>
    <row r="352" spans="1:11" ht="18" customHeight="1">
      <c r="A352" s="95"/>
      <c r="B352" s="114" t="s">
        <v>581</v>
      </c>
      <c r="C352" s="99"/>
      <c r="D352" s="99"/>
      <c r="E352" s="99">
        <v>6650</v>
      </c>
      <c r="F352" s="99"/>
      <c r="G352" s="99"/>
      <c r="H352" s="99"/>
      <c r="I352" s="182">
        <f t="shared" si="18"/>
        <v>6650</v>
      </c>
      <c r="J352" s="84"/>
      <c r="K352" s="53">
        <f t="shared" si="17"/>
        <v>6650</v>
      </c>
    </row>
    <row r="353" spans="1:11" ht="30" customHeight="1">
      <c r="A353" s="95"/>
      <c r="B353" s="114" t="s">
        <v>260</v>
      </c>
      <c r="C353" s="99"/>
      <c r="D353" s="99"/>
      <c r="E353" s="99">
        <v>6463</v>
      </c>
      <c r="F353" s="99"/>
      <c r="G353" s="99"/>
      <c r="H353" s="99"/>
      <c r="I353" s="182">
        <f t="shared" si="18"/>
        <v>6463</v>
      </c>
      <c r="J353" s="84"/>
      <c r="K353" s="53">
        <f t="shared" si="17"/>
        <v>6463</v>
      </c>
    </row>
    <row r="354" spans="1:11" ht="30" customHeight="1">
      <c r="A354" s="95"/>
      <c r="B354" s="114" t="s">
        <v>716</v>
      </c>
      <c r="C354" s="99"/>
      <c r="D354" s="99"/>
      <c r="E354" s="99">
        <v>4189</v>
      </c>
      <c r="F354" s="99"/>
      <c r="G354" s="99"/>
      <c r="H354" s="99"/>
      <c r="I354" s="182">
        <f t="shared" si="18"/>
        <v>4189</v>
      </c>
      <c r="J354" s="84"/>
      <c r="K354" s="53">
        <f t="shared" si="17"/>
        <v>4189</v>
      </c>
    </row>
    <row r="355" spans="1:11" ht="30" customHeight="1">
      <c r="A355" s="95"/>
      <c r="B355" s="114" t="s">
        <v>110</v>
      </c>
      <c r="C355" s="99"/>
      <c r="D355" s="99"/>
      <c r="E355" s="99">
        <v>3605</v>
      </c>
      <c r="F355" s="99"/>
      <c r="G355" s="99"/>
      <c r="H355" s="99"/>
      <c r="I355" s="182">
        <f t="shared" si="18"/>
        <v>3605</v>
      </c>
      <c r="J355" s="84"/>
      <c r="K355" s="53">
        <f t="shared" si="17"/>
        <v>3605</v>
      </c>
    </row>
    <row r="356" spans="1:11" ht="30" customHeight="1">
      <c r="A356" s="95"/>
      <c r="B356" s="114" t="s">
        <v>582</v>
      </c>
      <c r="C356" s="99"/>
      <c r="D356" s="99"/>
      <c r="E356" s="99">
        <v>2400</v>
      </c>
      <c r="F356" s="99"/>
      <c r="G356" s="99"/>
      <c r="H356" s="99"/>
      <c r="I356" s="182">
        <f t="shared" si="18"/>
        <v>2400</v>
      </c>
      <c r="J356" s="84"/>
      <c r="K356" s="53">
        <f t="shared" si="17"/>
        <v>2400</v>
      </c>
    </row>
    <row r="357" spans="1:11" ht="30" customHeight="1">
      <c r="A357" s="95"/>
      <c r="B357" s="114" t="s">
        <v>105</v>
      </c>
      <c r="C357" s="99"/>
      <c r="D357" s="99"/>
      <c r="E357" s="99">
        <v>15900</v>
      </c>
      <c r="F357" s="99"/>
      <c r="G357" s="99"/>
      <c r="H357" s="99"/>
      <c r="I357" s="182">
        <f t="shared" si="19" ref="I357:I388">E357</f>
        <v>15900</v>
      </c>
      <c r="J357" s="84"/>
      <c r="K357" s="53">
        <f t="shared" si="20" ref="K357:K421">I357+J357</f>
        <v>15900</v>
      </c>
    </row>
    <row r="358" spans="1:11" ht="30" customHeight="1">
      <c r="A358" s="95"/>
      <c r="B358" s="114" t="s">
        <v>717</v>
      </c>
      <c r="C358" s="99"/>
      <c r="D358" s="99"/>
      <c r="E358" s="99">
        <v>2560</v>
      </c>
      <c r="F358" s="99"/>
      <c r="G358" s="99"/>
      <c r="H358" s="99"/>
      <c r="I358" s="182">
        <f t="shared" si="19"/>
        <v>2560</v>
      </c>
      <c r="J358" s="84"/>
      <c r="K358" s="53">
        <f t="shared" si="20"/>
        <v>2560</v>
      </c>
    </row>
    <row r="359" spans="1:11" ht="30" customHeight="1">
      <c r="A359" s="95"/>
      <c r="B359" s="114" t="s">
        <v>583</v>
      </c>
      <c r="C359" s="99"/>
      <c r="D359" s="99"/>
      <c r="E359" s="99">
        <v>8308</v>
      </c>
      <c r="F359" s="99"/>
      <c r="G359" s="99"/>
      <c r="H359" s="99"/>
      <c r="I359" s="182">
        <f t="shared" si="19"/>
        <v>8308</v>
      </c>
      <c r="J359" s="84"/>
      <c r="K359" s="53">
        <f t="shared" si="20"/>
        <v>8308</v>
      </c>
    </row>
    <row r="360" spans="1:11" ht="30" customHeight="1">
      <c r="A360" s="95"/>
      <c r="B360" s="114" t="s">
        <v>584</v>
      </c>
      <c r="C360" s="99"/>
      <c r="D360" s="99"/>
      <c r="E360" s="99">
        <v>7712</v>
      </c>
      <c r="F360" s="99"/>
      <c r="G360" s="99"/>
      <c r="H360" s="99"/>
      <c r="I360" s="182">
        <f t="shared" si="19"/>
        <v>7712</v>
      </c>
      <c r="J360" s="84"/>
      <c r="K360" s="53">
        <f t="shared" si="20"/>
        <v>7712</v>
      </c>
    </row>
    <row r="361" spans="1:11" ht="30" customHeight="1">
      <c r="A361" s="95"/>
      <c r="B361" s="114" t="s">
        <v>718</v>
      </c>
      <c r="C361" s="99"/>
      <c r="D361" s="99"/>
      <c r="E361" s="92">
        <v>2845</v>
      </c>
      <c r="F361" s="92"/>
      <c r="G361" s="99"/>
      <c r="H361" s="99"/>
      <c r="I361" s="182">
        <f t="shared" si="19"/>
        <v>2845</v>
      </c>
      <c r="J361" s="84"/>
      <c r="K361" s="53">
        <f t="shared" si="20"/>
        <v>2845</v>
      </c>
    </row>
    <row r="362" spans="1:11" ht="30" customHeight="1">
      <c r="A362" s="95"/>
      <c r="B362" s="114" t="s">
        <v>585</v>
      </c>
      <c r="C362" s="99"/>
      <c r="D362" s="99"/>
      <c r="E362" s="99">
        <v>4230</v>
      </c>
      <c r="F362" s="99"/>
      <c r="G362" s="99"/>
      <c r="H362" s="99"/>
      <c r="I362" s="182">
        <f t="shared" si="19"/>
        <v>4230</v>
      </c>
      <c r="J362" s="84"/>
      <c r="K362" s="53">
        <f t="shared" si="20"/>
        <v>4230</v>
      </c>
    </row>
    <row r="363" spans="1:11" ht="30" customHeight="1">
      <c r="A363" s="95"/>
      <c r="B363" s="114" t="s">
        <v>719</v>
      </c>
      <c r="C363" s="99"/>
      <c r="D363" s="99"/>
      <c r="E363" s="99">
        <v>3572</v>
      </c>
      <c r="F363" s="99"/>
      <c r="G363" s="99"/>
      <c r="H363" s="99"/>
      <c r="I363" s="182">
        <f t="shared" si="19"/>
        <v>3572</v>
      </c>
      <c r="J363" s="84"/>
      <c r="K363" s="53">
        <f t="shared" si="20"/>
        <v>3572</v>
      </c>
    </row>
    <row r="364" spans="1:11" ht="30" customHeight="1">
      <c r="A364" s="95"/>
      <c r="B364" s="114" t="s">
        <v>586</v>
      </c>
      <c r="C364" s="99"/>
      <c r="D364" s="99"/>
      <c r="E364" s="99">
        <v>6752</v>
      </c>
      <c r="F364" s="99"/>
      <c r="G364" s="99"/>
      <c r="H364" s="99"/>
      <c r="I364" s="182">
        <f t="shared" si="19"/>
        <v>6752</v>
      </c>
      <c r="J364" s="84"/>
      <c r="K364" s="53">
        <f t="shared" si="20"/>
        <v>6752</v>
      </c>
    </row>
    <row r="365" spans="1:11" ht="30" customHeight="1">
      <c r="A365" s="95"/>
      <c r="B365" s="114" t="s">
        <v>587</v>
      </c>
      <c r="C365" s="99"/>
      <c r="D365" s="99"/>
      <c r="E365" s="99">
        <v>4700</v>
      </c>
      <c r="F365" s="99"/>
      <c r="G365" s="99"/>
      <c r="H365" s="99"/>
      <c r="I365" s="182">
        <f t="shared" si="19"/>
        <v>4700</v>
      </c>
      <c r="J365" s="84"/>
      <c r="K365" s="53">
        <f t="shared" si="20"/>
        <v>4700</v>
      </c>
    </row>
    <row r="366" spans="1:11" ht="30" customHeight="1">
      <c r="A366" s="95"/>
      <c r="B366" s="114" t="s">
        <v>588</v>
      </c>
      <c r="C366" s="99"/>
      <c r="D366" s="99"/>
      <c r="E366" s="99">
        <v>2718</v>
      </c>
      <c r="F366" s="99"/>
      <c r="G366" s="99"/>
      <c r="H366" s="99"/>
      <c r="I366" s="182">
        <f t="shared" si="19"/>
        <v>2718</v>
      </c>
      <c r="J366" s="84"/>
      <c r="K366" s="53">
        <f t="shared" si="20"/>
        <v>2718</v>
      </c>
    </row>
    <row r="367" spans="1:11" ht="30" customHeight="1">
      <c r="A367" s="95"/>
      <c r="B367" s="114" t="s">
        <v>589</v>
      </c>
      <c r="C367" s="99"/>
      <c r="D367" s="99"/>
      <c r="E367" s="99">
        <v>8550</v>
      </c>
      <c r="F367" s="99"/>
      <c r="G367" s="99"/>
      <c r="H367" s="99"/>
      <c r="I367" s="182">
        <f t="shared" si="19"/>
        <v>8550</v>
      </c>
      <c r="J367" s="84"/>
      <c r="K367" s="53">
        <f t="shared" si="20"/>
        <v>8550</v>
      </c>
    </row>
    <row r="368" spans="1:11" ht="30" customHeight="1">
      <c r="A368" s="95"/>
      <c r="B368" s="114" t="s">
        <v>720</v>
      </c>
      <c r="C368" s="99"/>
      <c r="D368" s="99"/>
      <c r="E368" s="99">
        <v>1270</v>
      </c>
      <c r="F368" s="99"/>
      <c r="G368" s="99"/>
      <c r="H368" s="99"/>
      <c r="I368" s="182">
        <f t="shared" si="19"/>
        <v>1270</v>
      </c>
      <c r="J368" s="84"/>
      <c r="K368" s="53">
        <f t="shared" si="20"/>
        <v>1270</v>
      </c>
    </row>
    <row r="369" spans="1:11" ht="15" customHeight="1">
      <c r="A369" s="95"/>
      <c r="B369" s="114" t="s">
        <v>590</v>
      </c>
      <c r="C369" s="99"/>
      <c r="D369" s="99"/>
      <c r="E369" s="99">
        <v>6780</v>
      </c>
      <c r="F369" s="99"/>
      <c r="G369" s="99"/>
      <c r="H369" s="99"/>
      <c r="I369" s="182">
        <f t="shared" si="19"/>
        <v>6780</v>
      </c>
      <c r="J369" s="84"/>
      <c r="K369" s="53">
        <f t="shared" si="20"/>
        <v>6780</v>
      </c>
    </row>
    <row r="370" spans="1:12" s="86" customFormat="1" ht="15" customHeight="1">
      <c r="A370" s="95"/>
      <c r="B370" s="114" t="s">
        <v>591</v>
      </c>
      <c r="C370" s="99"/>
      <c r="D370" s="99"/>
      <c r="E370" s="99">
        <v>1010</v>
      </c>
      <c r="F370" s="99"/>
      <c r="G370" s="99"/>
      <c r="H370" s="99"/>
      <c r="I370" s="182">
        <f t="shared" si="19"/>
        <v>1010</v>
      </c>
      <c r="J370" s="84"/>
      <c r="K370" s="53">
        <f t="shared" si="20"/>
        <v>1010</v>
      </c>
      <c r="L370" s="74"/>
    </row>
    <row r="371" spans="1:12" ht="15" customHeight="1">
      <c r="A371" s="95"/>
      <c r="B371" s="114" t="s">
        <v>595</v>
      </c>
      <c r="C371" s="99"/>
      <c r="D371" s="99"/>
      <c r="E371" s="99">
        <v>6273</v>
      </c>
      <c r="F371" s="99"/>
      <c r="G371" s="99"/>
      <c r="H371" s="99"/>
      <c r="I371" s="182">
        <f t="shared" si="19"/>
        <v>6273</v>
      </c>
      <c r="J371" s="84"/>
      <c r="K371" s="53">
        <f t="shared" si="20"/>
        <v>6273</v>
      </c>
      <c r="L371" s="86"/>
    </row>
    <row r="372" spans="1:11" ht="15" customHeight="1">
      <c r="A372" s="95"/>
      <c r="B372" s="114" t="s">
        <v>592</v>
      </c>
      <c r="C372" s="99"/>
      <c r="D372" s="99"/>
      <c r="E372" s="99">
        <v>4286</v>
      </c>
      <c r="F372" s="99"/>
      <c r="G372" s="99"/>
      <c r="H372" s="99"/>
      <c r="I372" s="182">
        <f t="shared" si="19"/>
        <v>4286</v>
      </c>
      <c r="J372" s="84"/>
      <c r="K372" s="53">
        <f t="shared" si="20"/>
        <v>4286</v>
      </c>
    </row>
    <row r="373" spans="1:11" ht="15" customHeight="1">
      <c r="A373" s="95"/>
      <c r="B373" s="114" t="s">
        <v>593</v>
      </c>
      <c r="C373" s="99"/>
      <c r="D373" s="99"/>
      <c r="E373" s="99">
        <v>720</v>
      </c>
      <c r="F373" s="99"/>
      <c r="G373" s="99"/>
      <c r="H373" s="99"/>
      <c r="I373" s="182">
        <f t="shared" si="19"/>
        <v>720</v>
      </c>
      <c r="J373" s="84"/>
      <c r="K373" s="53">
        <f t="shared" si="20"/>
        <v>720</v>
      </c>
    </row>
    <row r="374" spans="1:11" ht="15" customHeight="1">
      <c r="A374" s="95"/>
      <c r="B374" s="114" t="s">
        <v>594</v>
      </c>
      <c r="C374" s="99"/>
      <c r="D374" s="99"/>
      <c r="E374" s="99">
        <v>2000</v>
      </c>
      <c r="F374" s="99"/>
      <c r="G374" s="99"/>
      <c r="H374" s="99"/>
      <c r="I374" s="182">
        <f t="shared" si="19"/>
        <v>2000</v>
      </c>
      <c r="J374" s="84"/>
      <c r="K374" s="53">
        <f t="shared" si="20"/>
        <v>2000</v>
      </c>
    </row>
    <row r="375" spans="1:11" ht="15" customHeight="1">
      <c r="A375" s="95"/>
      <c r="B375" s="114" t="s">
        <v>538</v>
      </c>
      <c r="C375" s="99"/>
      <c r="D375" s="99"/>
      <c r="E375" s="99">
        <v>17550</v>
      </c>
      <c r="F375" s="99"/>
      <c r="G375" s="99"/>
      <c r="H375" s="99"/>
      <c r="I375" s="182">
        <f t="shared" si="19"/>
        <v>17550</v>
      </c>
      <c r="J375" s="84"/>
      <c r="K375" s="53">
        <f t="shared" si="20"/>
        <v>17550</v>
      </c>
    </row>
    <row r="376" spans="1:11" ht="15" customHeight="1">
      <c r="A376" s="95"/>
      <c r="B376" s="114" t="s">
        <v>721</v>
      </c>
      <c r="C376" s="99"/>
      <c r="D376" s="99"/>
      <c r="E376" s="99">
        <v>6665</v>
      </c>
      <c r="F376" s="99"/>
      <c r="G376" s="99"/>
      <c r="H376" s="99"/>
      <c r="I376" s="182">
        <f t="shared" si="19"/>
        <v>6665</v>
      </c>
      <c r="J376" s="84"/>
      <c r="K376" s="53">
        <f t="shared" si="20"/>
        <v>6665</v>
      </c>
    </row>
    <row r="377" spans="1:11" ht="15" customHeight="1">
      <c r="A377" s="95"/>
      <c r="B377" s="114" t="s">
        <v>596</v>
      </c>
      <c r="C377" s="99"/>
      <c r="D377" s="99"/>
      <c r="E377" s="99">
        <v>7985</v>
      </c>
      <c r="F377" s="99"/>
      <c r="G377" s="99"/>
      <c r="H377" s="99"/>
      <c r="I377" s="182">
        <f t="shared" si="19"/>
        <v>7985</v>
      </c>
      <c r="J377" s="84"/>
      <c r="K377" s="53">
        <f t="shared" si="20"/>
        <v>7985</v>
      </c>
    </row>
    <row r="378" spans="1:11" ht="15" customHeight="1">
      <c r="A378" s="95"/>
      <c r="B378" s="114" t="s">
        <v>597</v>
      </c>
      <c r="C378" s="99"/>
      <c r="D378" s="99"/>
      <c r="E378" s="99">
        <v>3510</v>
      </c>
      <c r="F378" s="99"/>
      <c r="G378" s="99"/>
      <c r="H378" s="99"/>
      <c r="I378" s="182">
        <f t="shared" si="19"/>
        <v>3510</v>
      </c>
      <c r="J378" s="84"/>
      <c r="K378" s="53">
        <f t="shared" si="20"/>
        <v>3510</v>
      </c>
    </row>
    <row r="379" spans="1:11" ht="15" customHeight="1">
      <c r="A379" s="95"/>
      <c r="B379" s="114" t="s">
        <v>122</v>
      </c>
      <c r="C379" s="99"/>
      <c r="D379" s="99"/>
      <c r="E379" s="99">
        <v>7727</v>
      </c>
      <c r="F379" s="99"/>
      <c r="G379" s="99"/>
      <c r="H379" s="99"/>
      <c r="I379" s="182">
        <f t="shared" si="19"/>
        <v>7727</v>
      </c>
      <c r="J379" s="84"/>
      <c r="K379" s="53">
        <f t="shared" si="20"/>
        <v>7727</v>
      </c>
    </row>
    <row r="380" spans="1:11" ht="15" customHeight="1">
      <c r="A380" s="96" t="s">
        <v>598</v>
      </c>
      <c r="B380" s="96" t="s">
        <v>599</v>
      </c>
      <c r="C380" s="98"/>
      <c r="D380" s="98"/>
      <c r="E380" s="98">
        <f>SUM(E381:E388)</f>
        <v>786007</v>
      </c>
      <c r="F380" s="98"/>
      <c r="G380" s="98"/>
      <c r="H380" s="98"/>
      <c r="I380" s="181">
        <f t="shared" si="19"/>
        <v>786007</v>
      </c>
      <c r="J380" s="83"/>
      <c r="K380" s="195">
        <f t="shared" si="20"/>
        <v>786007</v>
      </c>
    </row>
    <row r="381" spans="1:11" ht="15" customHeight="1">
      <c r="A381" s="95"/>
      <c r="B381" s="114" t="s">
        <v>565</v>
      </c>
      <c r="C381" s="99"/>
      <c r="D381" s="99"/>
      <c r="E381" s="92">
        <v>781492</v>
      </c>
      <c r="F381" s="92"/>
      <c r="G381" s="99"/>
      <c r="H381" s="99"/>
      <c r="I381" s="182">
        <f t="shared" si="19"/>
        <v>781492</v>
      </c>
      <c r="J381" s="84"/>
      <c r="K381" s="53">
        <f t="shared" si="20"/>
        <v>781492</v>
      </c>
    </row>
    <row r="382" spans="1:11" ht="15" customHeight="1">
      <c r="A382" s="95"/>
      <c r="B382" s="116" t="s">
        <v>21</v>
      </c>
      <c r="C382" s="99"/>
      <c r="D382" s="99"/>
      <c r="E382" s="92">
        <v>170</v>
      </c>
      <c r="F382" s="92"/>
      <c r="G382" s="99"/>
      <c r="H382" s="99"/>
      <c r="I382" s="182">
        <f t="shared" si="19"/>
        <v>170</v>
      </c>
      <c r="J382" s="84"/>
      <c r="K382" s="53">
        <f t="shared" si="20"/>
        <v>170</v>
      </c>
    </row>
    <row r="383" spans="1:11" ht="15" customHeight="1">
      <c r="A383" s="95"/>
      <c r="B383" s="114" t="s">
        <v>22</v>
      </c>
      <c r="C383" s="99"/>
      <c r="D383" s="99"/>
      <c r="E383" s="92">
        <v>941</v>
      </c>
      <c r="F383" s="92"/>
      <c r="G383" s="99"/>
      <c r="H383" s="99"/>
      <c r="I383" s="182">
        <f t="shared" si="19"/>
        <v>941</v>
      </c>
      <c r="J383" s="84"/>
      <c r="K383" s="53">
        <f t="shared" si="20"/>
        <v>941</v>
      </c>
    </row>
    <row r="384" spans="1:11" ht="15" customHeight="1">
      <c r="A384" s="95"/>
      <c r="B384" s="114" t="s">
        <v>24</v>
      </c>
      <c r="C384" s="99"/>
      <c r="D384" s="99"/>
      <c r="E384" s="92">
        <v>225</v>
      </c>
      <c r="F384" s="92"/>
      <c r="G384" s="99"/>
      <c r="H384" s="99"/>
      <c r="I384" s="182">
        <f t="shared" si="19"/>
        <v>225</v>
      </c>
      <c r="J384" s="84"/>
      <c r="K384" s="53">
        <f t="shared" si="20"/>
        <v>225</v>
      </c>
    </row>
    <row r="385" spans="1:11" ht="15" customHeight="1">
      <c r="A385" s="95"/>
      <c r="B385" s="114" t="s">
        <v>23</v>
      </c>
      <c r="C385" s="99"/>
      <c r="D385" s="99"/>
      <c r="E385" s="92">
        <v>2191</v>
      </c>
      <c r="F385" s="92"/>
      <c r="G385" s="99"/>
      <c r="H385" s="99"/>
      <c r="I385" s="182">
        <f t="shared" si="19"/>
        <v>2191</v>
      </c>
      <c r="J385" s="84"/>
      <c r="K385" s="53">
        <f t="shared" si="20"/>
        <v>2191</v>
      </c>
    </row>
    <row r="386" spans="1:11" ht="15" customHeight="1">
      <c r="A386" s="95"/>
      <c r="B386" s="114" t="s">
        <v>25</v>
      </c>
      <c r="C386" s="99"/>
      <c r="D386" s="99"/>
      <c r="E386" s="92">
        <v>295</v>
      </c>
      <c r="F386" s="92"/>
      <c r="G386" s="99"/>
      <c r="H386" s="99"/>
      <c r="I386" s="182">
        <f t="shared" si="19"/>
        <v>295</v>
      </c>
      <c r="J386" s="84"/>
      <c r="K386" s="53">
        <f t="shared" si="20"/>
        <v>295</v>
      </c>
    </row>
    <row r="387" spans="1:11" ht="15" customHeight="1">
      <c r="A387" s="95"/>
      <c r="B387" s="114" t="s">
        <v>26</v>
      </c>
      <c r="C387" s="99"/>
      <c r="D387" s="99"/>
      <c r="E387" s="92">
        <v>627</v>
      </c>
      <c r="F387" s="92"/>
      <c r="G387" s="99"/>
      <c r="H387" s="99"/>
      <c r="I387" s="182">
        <f t="shared" si="19"/>
        <v>627</v>
      </c>
      <c r="J387" s="84"/>
      <c r="K387" s="53">
        <f t="shared" si="20"/>
        <v>627</v>
      </c>
    </row>
    <row r="388" spans="1:11" ht="15" customHeight="1">
      <c r="A388" s="95"/>
      <c r="B388" s="114" t="s">
        <v>28</v>
      </c>
      <c r="C388" s="99"/>
      <c r="D388" s="99"/>
      <c r="E388" s="92">
        <v>66</v>
      </c>
      <c r="F388" s="92"/>
      <c r="G388" s="99"/>
      <c r="H388" s="99"/>
      <c r="I388" s="182">
        <f t="shared" si="19"/>
        <v>66</v>
      </c>
      <c r="J388" s="84"/>
      <c r="K388" s="53">
        <f t="shared" si="20"/>
        <v>66</v>
      </c>
    </row>
    <row r="389" spans="1:11" ht="54.75" customHeight="1">
      <c r="A389" s="96" t="s">
        <v>761</v>
      </c>
      <c r="B389" s="97" t="s">
        <v>762</v>
      </c>
      <c r="C389" s="99"/>
      <c r="D389" s="99"/>
      <c r="E389" s="98">
        <f>SUM(E390:E391)</f>
        <v>2425</v>
      </c>
      <c r="F389" s="98">
        <f>SUM(F390:F391)</f>
        <v>3669</v>
      </c>
      <c r="G389" s="99"/>
      <c r="H389" s="98">
        <f>H390</f>
        <v>0</v>
      </c>
      <c r="I389" s="181">
        <f>SUM(I390:I391)</f>
        <v>2425</v>
      </c>
      <c r="J389" s="181">
        <f>SUM(J390:J391)</f>
        <v>3669</v>
      </c>
      <c r="K389" s="195">
        <f>I389+J389</f>
        <v>6094</v>
      </c>
    </row>
    <row r="390" spans="1:11" ht="24.75" customHeight="1">
      <c r="A390" s="96"/>
      <c r="B390" s="125" t="s">
        <v>885</v>
      </c>
      <c r="C390" s="99"/>
      <c r="D390" s="99"/>
      <c r="E390" s="99"/>
      <c r="F390" s="99">
        <v>3669</v>
      </c>
      <c r="G390" s="99"/>
      <c r="H390" s="99"/>
      <c r="I390" s="182"/>
      <c r="J390" s="53">
        <f>F390</f>
        <v>3669</v>
      </c>
      <c r="K390" s="53">
        <f t="shared" si="20"/>
        <v>3669</v>
      </c>
    </row>
    <row r="391" spans="1:11" ht="26.25" customHeight="1">
      <c r="A391" s="96"/>
      <c r="B391" s="114" t="s">
        <v>763</v>
      </c>
      <c r="C391" s="99"/>
      <c r="D391" s="99"/>
      <c r="E391" s="99">
        <v>2425</v>
      </c>
      <c r="F391" s="99"/>
      <c r="G391" s="99"/>
      <c r="H391" s="99"/>
      <c r="I391" s="182">
        <f>E391</f>
        <v>2425</v>
      </c>
      <c r="J391" s="84"/>
      <c r="K391" s="53">
        <f t="shared" si="20"/>
        <v>2425</v>
      </c>
    </row>
    <row r="392" spans="1:12" s="87" customFormat="1" ht="15" customHeight="1">
      <c r="A392" s="96" t="s">
        <v>600</v>
      </c>
      <c r="B392" s="97" t="s">
        <v>601</v>
      </c>
      <c r="C392" s="98"/>
      <c r="D392" s="98"/>
      <c r="E392" s="98">
        <f>E393+E400+E401+E429</f>
        <v>325215</v>
      </c>
      <c r="F392" s="98">
        <f>F393+F400+F401+F429</f>
        <v>12746</v>
      </c>
      <c r="G392" s="98"/>
      <c r="H392" s="98"/>
      <c r="I392" s="181">
        <f t="shared" si="21" ref="I392:J422">E392</f>
        <v>325215</v>
      </c>
      <c r="J392" s="181">
        <f t="shared" si="21"/>
        <v>12746</v>
      </c>
      <c r="K392" s="195">
        <f t="shared" si="20"/>
        <v>337961</v>
      </c>
      <c r="L392" s="74"/>
    </row>
    <row r="393" spans="1:12" ht="15" customHeight="1">
      <c r="A393" s="96" t="s">
        <v>602</v>
      </c>
      <c r="B393" s="97" t="s">
        <v>603</v>
      </c>
      <c r="C393" s="98"/>
      <c r="D393" s="98"/>
      <c r="E393" s="98">
        <f>SUM(E394:E399)</f>
        <v>19661</v>
      </c>
      <c r="F393" s="98">
        <f>SUM(F394:F399)</f>
        <v>1758</v>
      </c>
      <c r="G393" s="98"/>
      <c r="H393" s="98"/>
      <c r="I393" s="181">
        <f t="shared" si="21"/>
        <v>19661</v>
      </c>
      <c r="J393" s="181">
        <f t="shared" si="21"/>
        <v>1758</v>
      </c>
      <c r="K393" s="195">
        <f t="shared" si="20"/>
        <v>21419</v>
      </c>
      <c r="L393" s="87"/>
    </row>
    <row r="394" spans="1:11" ht="15" customHeight="1">
      <c r="A394" s="95"/>
      <c r="B394" s="114" t="s">
        <v>83</v>
      </c>
      <c r="C394" s="99"/>
      <c r="D394" s="99"/>
      <c r="E394" s="99">
        <v>6047</v>
      </c>
      <c r="F394" s="99"/>
      <c r="G394" s="99"/>
      <c r="H394" s="99"/>
      <c r="I394" s="182">
        <f t="shared" si="21"/>
        <v>6047</v>
      </c>
      <c r="J394" s="189"/>
      <c r="K394" s="53">
        <f t="shared" si="20"/>
        <v>6047</v>
      </c>
    </row>
    <row r="395" spans="1:11" ht="15" customHeight="1">
      <c r="A395" s="95"/>
      <c r="B395" s="114" t="s">
        <v>174</v>
      </c>
      <c r="C395" s="99"/>
      <c r="D395" s="99"/>
      <c r="E395" s="99">
        <v>6156</v>
      </c>
      <c r="F395" s="99"/>
      <c r="G395" s="99"/>
      <c r="H395" s="99"/>
      <c r="I395" s="182">
        <f t="shared" si="21"/>
        <v>6156</v>
      </c>
      <c r="J395" s="84"/>
      <c r="K395" s="53">
        <f t="shared" si="20"/>
        <v>6156</v>
      </c>
    </row>
    <row r="396" spans="1:11" ht="15" customHeight="1">
      <c r="A396" s="95"/>
      <c r="B396" s="114" t="s">
        <v>236</v>
      </c>
      <c r="C396" s="99"/>
      <c r="D396" s="99"/>
      <c r="E396" s="99">
        <v>1688</v>
      </c>
      <c r="F396" s="99"/>
      <c r="G396" s="99"/>
      <c r="H396" s="99"/>
      <c r="I396" s="182">
        <f t="shared" si="21"/>
        <v>1688</v>
      </c>
      <c r="J396" s="84"/>
      <c r="K396" s="53">
        <f t="shared" si="20"/>
        <v>1688</v>
      </c>
    </row>
    <row r="397" spans="1:11" ht="16.5" customHeight="1">
      <c r="A397" s="95"/>
      <c r="B397" s="116" t="s">
        <v>168</v>
      </c>
      <c r="C397" s="99"/>
      <c r="D397" s="99"/>
      <c r="E397" s="99">
        <v>2550</v>
      </c>
      <c r="F397" s="99"/>
      <c r="G397" s="99"/>
      <c r="H397" s="99"/>
      <c r="I397" s="182">
        <f t="shared" si="21"/>
        <v>2550</v>
      </c>
      <c r="J397" s="84"/>
      <c r="K397" s="53">
        <f t="shared" si="20"/>
        <v>2550</v>
      </c>
    </row>
    <row r="398" spans="1:11" ht="15" customHeight="1">
      <c r="A398" s="95"/>
      <c r="B398" s="116" t="s">
        <v>163</v>
      </c>
      <c r="C398" s="99"/>
      <c r="D398" s="99"/>
      <c r="E398" s="99">
        <v>1560</v>
      </c>
      <c r="F398" s="99"/>
      <c r="G398" s="99"/>
      <c r="H398" s="99"/>
      <c r="I398" s="182">
        <f t="shared" si="21"/>
        <v>1560</v>
      </c>
      <c r="J398" s="84"/>
      <c r="K398" s="53">
        <f t="shared" si="20"/>
        <v>1560</v>
      </c>
    </row>
    <row r="399" spans="1:11" ht="15" customHeight="1">
      <c r="A399" s="95"/>
      <c r="B399" s="116" t="s">
        <v>176</v>
      </c>
      <c r="C399" s="99"/>
      <c r="D399" s="99"/>
      <c r="E399" s="99">
        <f>1660</f>
        <v>1660</v>
      </c>
      <c r="F399" s="99">
        <v>1758</v>
      </c>
      <c r="G399" s="99"/>
      <c r="H399" s="99"/>
      <c r="I399" s="182">
        <f t="shared" si="21"/>
        <v>1660</v>
      </c>
      <c r="J399" s="53">
        <f>F399</f>
        <v>1758</v>
      </c>
      <c r="K399" s="53">
        <f t="shared" si="20"/>
        <v>3418</v>
      </c>
    </row>
    <row r="400" spans="1:11" ht="15" customHeight="1">
      <c r="A400" s="96" t="s">
        <v>604</v>
      </c>
      <c r="B400" s="172" t="s">
        <v>605</v>
      </c>
      <c r="C400" s="98"/>
      <c r="D400" s="98"/>
      <c r="E400" s="98">
        <v>75000</v>
      </c>
      <c r="F400" s="98"/>
      <c r="G400" s="98"/>
      <c r="H400" s="98"/>
      <c r="I400" s="181">
        <f t="shared" si="21"/>
        <v>75000</v>
      </c>
      <c r="J400" s="84"/>
      <c r="K400" s="195">
        <f t="shared" si="20"/>
        <v>75000</v>
      </c>
    </row>
    <row r="401" spans="1:11" ht="15" customHeight="1">
      <c r="A401" s="96" t="s">
        <v>606</v>
      </c>
      <c r="B401" s="96" t="s">
        <v>607</v>
      </c>
      <c r="C401" s="98"/>
      <c r="D401" s="98"/>
      <c r="E401" s="98">
        <f>SUM(E402:E428)</f>
        <v>182234</v>
      </c>
      <c r="F401" s="98">
        <f>SUM(F402:F428)</f>
        <v>8494</v>
      </c>
      <c r="G401" s="98"/>
      <c r="H401" s="98"/>
      <c r="I401" s="181">
        <f t="shared" si="21"/>
        <v>182234</v>
      </c>
      <c r="J401" s="181">
        <f t="shared" si="21"/>
        <v>8494</v>
      </c>
      <c r="K401" s="195">
        <f t="shared" si="20"/>
        <v>190728</v>
      </c>
    </row>
    <row r="402" spans="1:11" ht="15" customHeight="1">
      <c r="A402" s="95"/>
      <c r="B402" s="116" t="s">
        <v>190</v>
      </c>
      <c r="C402" s="99"/>
      <c r="D402" s="99"/>
      <c r="E402" s="99">
        <v>21000</v>
      </c>
      <c r="F402" s="99"/>
      <c r="G402" s="99"/>
      <c r="H402" s="99"/>
      <c r="I402" s="182">
        <f t="shared" si="21"/>
        <v>21000</v>
      </c>
      <c r="J402" s="186"/>
      <c r="K402" s="53">
        <f t="shared" si="20"/>
        <v>21000</v>
      </c>
    </row>
    <row r="403" spans="1:11" ht="15" customHeight="1">
      <c r="A403" s="95"/>
      <c r="B403" s="116" t="s">
        <v>15</v>
      </c>
      <c r="C403" s="99"/>
      <c r="D403" s="99"/>
      <c r="E403" s="99">
        <v>1200</v>
      </c>
      <c r="F403" s="99"/>
      <c r="G403" s="99"/>
      <c r="H403" s="99"/>
      <c r="I403" s="182">
        <f t="shared" si="21"/>
        <v>1200</v>
      </c>
      <c r="J403" s="84"/>
      <c r="K403" s="53">
        <f t="shared" si="20"/>
        <v>1200</v>
      </c>
    </row>
    <row r="404" spans="1:11" ht="15" customHeight="1">
      <c r="A404" s="95"/>
      <c r="B404" s="116" t="s">
        <v>608</v>
      </c>
      <c r="C404" s="99"/>
      <c r="D404" s="99"/>
      <c r="E404" s="99">
        <v>18500</v>
      </c>
      <c r="F404" s="99"/>
      <c r="G404" s="99"/>
      <c r="H404" s="99"/>
      <c r="I404" s="182">
        <f t="shared" si="21"/>
        <v>18500</v>
      </c>
      <c r="J404" s="84"/>
      <c r="K404" s="53">
        <f t="shared" si="20"/>
        <v>18500</v>
      </c>
    </row>
    <row r="405" spans="1:11" ht="15" customHeight="1">
      <c r="A405" s="95"/>
      <c r="B405" s="116" t="s">
        <v>565</v>
      </c>
      <c r="C405" s="99"/>
      <c r="D405" s="99"/>
      <c r="E405" s="99">
        <f>5186+95100+9380</f>
        <v>109666</v>
      </c>
      <c r="F405" s="99"/>
      <c r="G405" s="99"/>
      <c r="H405" s="99"/>
      <c r="I405" s="182">
        <f t="shared" si="21"/>
        <v>109666</v>
      </c>
      <c r="J405" s="84"/>
      <c r="K405" s="53">
        <f t="shared" si="20"/>
        <v>109666</v>
      </c>
    </row>
    <row r="406" spans="1:11" ht="15" customHeight="1">
      <c r="A406" s="95"/>
      <c r="B406" s="117" t="s">
        <v>805</v>
      </c>
      <c r="C406" s="99"/>
      <c r="D406" s="99"/>
      <c r="E406" s="99">
        <v>600</v>
      </c>
      <c r="F406" s="99"/>
      <c r="G406" s="99"/>
      <c r="H406" s="99"/>
      <c r="I406" s="182">
        <f t="shared" si="21"/>
        <v>600</v>
      </c>
      <c r="J406" s="84"/>
      <c r="K406" s="53">
        <f t="shared" si="20"/>
        <v>600</v>
      </c>
    </row>
    <row r="407" spans="1:11" ht="19.5" customHeight="1">
      <c r="A407" s="95"/>
      <c r="B407" s="114" t="s">
        <v>827</v>
      </c>
      <c r="C407" s="99"/>
      <c r="D407" s="99"/>
      <c r="E407" s="99">
        <v>1510</v>
      </c>
      <c r="F407" s="99"/>
      <c r="G407" s="99"/>
      <c r="H407" s="99"/>
      <c r="I407" s="182">
        <f t="shared" si="21"/>
        <v>1510</v>
      </c>
      <c r="J407" s="84"/>
      <c r="K407" s="53">
        <f t="shared" si="20"/>
        <v>1510</v>
      </c>
    </row>
    <row r="408" spans="1:11" ht="15" customHeight="1">
      <c r="A408" s="95"/>
      <c r="B408" s="116" t="s">
        <v>693</v>
      </c>
      <c r="C408" s="99"/>
      <c r="D408" s="99"/>
      <c r="E408" s="99">
        <v>367</v>
      </c>
      <c r="F408" s="99"/>
      <c r="G408" s="99"/>
      <c r="H408" s="99"/>
      <c r="I408" s="182">
        <f t="shared" si="21"/>
        <v>367</v>
      </c>
      <c r="J408" s="84"/>
      <c r="K408" s="53">
        <f t="shared" si="20"/>
        <v>367</v>
      </c>
    </row>
    <row r="409" spans="1:11" ht="15" customHeight="1">
      <c r="A409" s="95"/>
      <c r="B409" s="117" t="s">
        <v>172</v>
      </c>
      <c r="C409" s="99"/>
      <c r="D409" s="99"/>
      <c r="E409" s="99">
        <v>600</v>
      </c>
      <c r="F409" s="99"/>
      <c r="G409" s="99"/>
      <c r="H409" s="99"/>
      <c r="I409" s="182">
        <f t="shared" si="21"/>
        <v>600</v>
      </c>
      <c r="J409" s="84"/>
      <c r="K409" s="53">
        <f t="shared" si="20"/>
        <v>600</v>
      </c>
    </row>
    <row r="410" spans="1:11" ht="21.75" customHeight="1">
      <c r="A410" s="95"/>
      <c r="B410" s="116" t="s">
        <v>775</v>
      </c>
      <c r="C410" s="99"/>
      <c r="D410" s="99"/>
      <c r="E410" s="99">
        <v>1500</v>
      </c>
      <c r="F410" s="99"/>
      <c r="G410" s="99"/>
      <c r="H410" s="99"/>
      <c r="I410" s="182">
        <f t="shared" si="21"/>
        <v>1500</v>
      </c>
      <c r="J410" s="84"/>
      <c r="K410" s="53">
        <f t="shared" si="20"/>
        <v>1500</v>
      </c>
    </row>
    <row r="411" spans="1:11" ht="30" customHeight="1">
      <c r="A411" s="95"/>
      <c r="B411" s="116" t="s">
        <v>806</v>
      </c>
      <c r="C411" s="99"/>
      <c r="D411" s="99"/>
      <c r="E411" s="99">
        <v>1800</v>
      </c>
      <c r="F411" s="99"/>
      <c r="G411" s="99"/>
      <c r="H411" s="99"/>
      <c r="I411" s="182">
        <f t="shared" si="21"/>
        <v>1800</v>
      </c>
      <c r="J411" s="84"/>
      <c r="K411" s="53">
        <f t="shared" si="20"/>
        <v>1800</v>
      </c>
    </row>
    <row r="412" spans="1:11" ht="30" customHeight="1">
      <c r="A412" s="95"/>
      <c r="B412" s="114" t="s">
        <v>807</v>
      </c>
      <c r="C412" s="99"/>
      <c r="D412" s="99"/>
      <c r="E412" s="99">
        <v>400</v>
      </c>
      <c r="F412" s="99"/>
      <c r="G412" s="99"/>
      <c r="H412" s="99"/>
      <c r="I412" s="182">
        <f t="shared" si="21"/>
        <v>400</v>
      </c>
      <c r="J412" s="84"/>
      <c r="K412" s="53">
        <f t="shared" si="20"/>
        <v>400</v>
      </c>
    </row>
    <row r="413" spans="1:11" ht="30" customHeight="1">
      <c r="A413" s="95"/>
      <c r="B413" s="114" t="s">
        <v>325</v>
      </c>
      <c r="C413" s="99"/>
      <c r="D413" s="99"/>
      <c r="E413" s="99">
        <v>1800</v>
      </c>
      <c r="F413" s="99"/>
      <c r="G413" s="99"/>
      <c r="H413" s="99"/>
      <c r="I413" s="182">
        <f t="shared" si="21"/>
        <v>1800</v>
      </c>
      <c r="J413" s="84"/>
      <c r="K413" s="53">
        <f t="shared" si="20"/>
        <v>1800</v>
      </c>
    </row>
    <row r="414" spans="1:11" ht="30" customHeight="1">
      <c r="A414" s="95"/>
      <c r="B414" s="117" t="s">
        <v>796</v>
      </c>
      <c r="C414" s="99"/>
      <c r="D414" s="99"/>
      <c r="E414" s="99">
        <v>100</v>
      </c>
      <c r="F414" s="99"/>
      <c r="G414" s="99"/>
      <c r="H414" s="99"/>
      <c r="I414" s="182">
        <f t="shared" si="21"/>
        <v>100</v>
      </c>
      <c r="J414" s="84"/>
      <c r="K414" s="53">
        <f t="shared" si="20"/>
        <v>100</v>
      </c>
    </row>
    <row r="415" spans="1:11" ht="30" customHeight="1">
      <c r="A415" s="95"/>
      <c r="B415" s="116" t="s">
        <v>816</v>
      </c>
      <c r="C415" s="99"/>
      <c r="D415" s="99"/>
      <c r="E415" s="99">
        <v>200</v>
      </c>
      <c r="F415" s="99"/>
      <c r="G415" s="99"/>
      <c r="H415" s="99"/>
      <c r="I415" s="182">
        <f t="shared" si="21"/>
        <v>200</v>
      </c>
      <c r="J415" s="84"/>
      <c r="K415" s="53">
        <f t="shared" si="20"/>
        <v>200</v>
      </c>
    </row>
    <row r="416" spans="1:11" ht="30" customHeight="1">
      <c r="A416" s="95"/>
      <c r="B416" s="117" t="s">
        <v>815</v>
      </c>
      <c r="C416" s="99"/>
      <c r="D416" s="99"/>
      <c r="E416" s="92">
        <v>1000</v>
      </c>
      <c r="F416" s="92"/>
      <c r="G416" s="99"/>
      <c r="H416" s="99"/>
      <c r="I416" s="182">
        <f t="shared" si="21"/>
        <v>1000</v>
      </c>
      <c r="J416" s="84"/>
      <c r="K416" s="53">
        <f t="shared" si="20"/>
        <v>1000</v>
      </c>
    </row>
    <row r="417" spans="1:11" ht="30" customHeight="1">
      <c r="A417" s="95"/>
      <c r="B417" s="117" t="s">
        <v>814</v>
      </c>
      <c r="C417" s="99"/>
      <c r="D417" s="99"/>
      <c r="E417" s="99">
        <f>5000+500</f>
        <v>5500</v>
      </c>
      <c r="F417" s="99"/>
      <c r="G417" s="99"/>
      <c r="H417" s="99"/>
      <c r="I417" s="182">
        <f t="shared" si="21"/>
        <v>5500</v>
      </c>
      <c r="J417" s="84"/>
      <c r="K417" s="53">
        <f t="shared" si="20"/>
        <v>5500</v>
      </c>
    </row>
    <row r="418" spans="1:11" ht="30" customHeight="1">
      <c r="A418" s="95"/>
      <c r="B418" s="117" t="s">
        <v>808</v>
      </c>
      <c r="C418" s="99"/>
      <c r="D418" s="99"/>
      <c r="E418" s="99">
        <v>1300</v>
      </c>
      <c r="F418" s="99"/>
      <c r="G418" s="99"/>
      <c r="H418" s="99"/>
      <c r="I418" s="182">
        <f t="shared" si="21"/>
        <v>1300</v>
      </c>
      <c r="J418" s="84"/>
      <c r="K418" s="53">
        <f t="shared" si="20"/>
        <v>1300</v>
      </c>
    </row>
    <row r="419" spans="1:11" ht="15" customHeight="1">
      <c r="A419" s="95"/>
      <c r="B419" s="114" t="s">
        <v>706</v>
      </c>
      <c r="C419" s="99"/>
      <c r="D419" s="99"/>
      <c r="E419" s="99">
        <v>300</v>
      </c>
      <c r="F419" s="99"/>
      <c r="G419" s="99"/>
      <c r="H419" s="99"/>
      <c r="I419" s="182">
        <f t="shared" si="21"/>
        <v>300</v>
      </c>
      <c r="J419" s="84"/>
      <c r="K419" s="53">
        <f t="shared" si="20"/>
        <v>300</v>
      </c>
    </row>
    <row r="420" spans="1:11" ht="20.25" customHeight="1">
      <c r="A420" s="95"/>
      <c r="B420" s="114" t="s">
        <v>84</v>
      </c>
      <c r="C420" s="99"/>
      <c r="D420" s="99"/>
      <c r="E420" s="99">
        <v>8691</v>
      </c>
      <c r="F420" s="99"/>
      <c r="G420" s="99"/>
      <c r="H420" s="99"/>
      <c r="I420" s="182">
        <f t="shared" si="21"/>
        <v>8691</v>
      </c>
      <c r="J420" s="84"/>
      <c r="K420" s="53">
        <f t="shared" si="20"/>
        <v>8691</v>
      </c>
    </row>
    <row r="421" spans="1:11" ht="30.75" customHeight="1">
      <c r="A421" s="95"/>
      <c r="B421" s="114" t="s">
        <v>809</v>
      </c>
      <c r="C421" s="99"/>
      <c r="D421" s="99"/>
      <c r="E421" s="99">
        <v>200</v>
      </c>
      <c r="F421" s="99"/>
      <c r="G421" s="99"/>
      <c r="H421" s="99"/>
      <c r="I421" s="182">
        <f t="shared" si="21"/>
        <v>200</v>
      </c>
      <c r="J421" s="84"/>
      <c r="K421" s="53">
        <f t="shared" si="20"/>
        <v>200</v>
      </c>
    </row>
    <row r="422" spans="1:11" ht="28.5" customHeight="1">
      <c r="A422" s="95"/>
      <c r="B422" s="114" t="s">
        <v>810</v>
      </c>
      <c r="C422" s="99"/>
      <c r="D422" s="99"/>
      <c r="E422" s="99">
        <v>900</v>
      </c>
      <c r="F422" s="99"/>
      <c r="G422" s="99"/>
      <c r="H422" s="99"/>
      <c r="I422" s="182">
        <f t="shared" si="21"/>
        <v>900</v>
      </c>
      <c r="J422" s="84"/>
      <c r="K422" s="53">
        <f t="shared" si="22" ref="K422:K453">I422+J422</f>
        <v>900</v>
      </c>
    </row>
    <row r="423" spans="1:11" ht="33" customHeight="1">
      <c r="A423" s="95"/>
      <c r="B423" s="114" t="s">
        <v>811</v>
      </c>
      <c r="C423" s="99"/>
      <c r="D423" s="99"/>
      <c r="E423" s="99">
        <v>300</v>
      </c>
      <c r="F423" s="99"/>
      <c r="G423" s="99"/>
      <c r="H423" s="99"/>
      <c r="I423" s="182">
        <f t="shared" si="23" ref="I423:J453">E423</f>
        <v>300</v>
      </c>
      <c r="J423" s="84"/>
      <c r="K423" s="53">
        <f t="shared" si="22"/>
        <v>300</v>
      </c>
    </row>
    <row r="424" spans="1:11" ht="15" customHeight="1">
      <c r="A424" s="95"/>
      <c r="B424" s="114" t="s">
        <v>709</v>
      </c>
      <c r="C424" s="99"/>
      <c r="D424" s="99"/>
      <c r="E424" s="99">
        <v>1000</v>
      </c>
      <c r="F424" s="99"/>
      <c r="G424" s="99"/>
      <c r="H424" s="99"/>
      <c r="I424" s="182">
        <f t="shared" si="23"/>
        <v>1000</v>
      </c>
      <c r="J424" s="84"/>
      <c r="K424" s="53">
        <f t="shared" si="22"/>
        <v>1000</v>
      </c>
    </row>
    <row r="425" spans="1:11" ht="15" customHeight="1">
      <c r="A425" s="95"/>
      <c r="B425" s="114" t="s">
        <v>176</v>
      </c>
      <c r="C425" s="99"/>
      <c r="D425" s="99"/>
      <c r="E425" s="92">
        <f>1000</f>
        <v>1000</v>
      </c>
      <c r="F425" s="92">
        <v>8494</v>
      </c>
      <c r="G425" s="99"/>
      <c r="H425" s="99"/>
      <c r="I425" s="182">
        <f t="shared" si="23"/>
        <v>1000</v>
      </c>
      <c r="J425" s="53">
        <f>F425</f>
        <v>8494</v>
      </c>
      <c r="K425" s="53">
        <f t="shared" si="22"/>
        <v>9494</v>
      </c>
    </row>
    <row r="426" spans="1:11" ht="15.75">
      <c r="A426" s="95"/>
      <c r="B426" s="117" t="s">
        <v>812</v>
      </c>
      <c r="C426" s="99"/>
      <c r="D426" s="99"/>
      <c r="E426" s="99">
        <v>1000</v>
      </c>
      <c r="F426" s="99"/>
      <c r="G426" s="99"/>
      <c r="H426" s="99"/>
      <c r="I426" s="182">
        <f t="shared" si="23"/>
        <v>1000</v>
      </c>
      <c r="J426" s="84"/>
      <c r="K426" s="53">
        <f t="shared" si="22"/>
        <v>1000</v>
      </c>
    </row>
    <row r="427" spans="1:11" ht="33.6" customHeight="1">
      <c r="A427" s="95"/>
      <c r="B427" s="114" t="s">
        <v>813</v>
      </c>
      <c r="C427" s="99"/>
      <c r="D427" s="99"/>
      <c r="E427" s="99">
        <v>1400</v>
      </c>
      <c r="F427" s="99"/>
      <c r="G427" s="99"/>
      <c r="H427" s="99"/>
      <c r="I427" s="182">
        <f t="shared" si="23"/>
        <v>1400</v>
      </c>
      <c r="J427" s="84"/>
      <c r="K427" s="53">
        <f t="shared" si="22"/>
        <v>1400</v>
      </c>
    </row>
    <row r="428" spans="1:11" ht="30.6" customHeight="1">
      <c r="A428" s="95"/>
      <c r="B428" s="114" t="s">
        <v>786</v>
      </c>
      <c r="C428" s="99"/>
      <c r="D428" s="99"/>
      <c r="E428" s="92">
        <v>400</v>
      </c>
      <c r="F428" s="92"/>
      <c r="G428" s="99"/>
      <c r="H428" s="99"/>
      <c r="I428" s="182">
        <f t="shared" si="23"/>
        <v>400</v>
      </c>
      <c r="J428" s="84"/>
      <c r="K428" s="53">
        <f t="shared" si="22"/>
        <v>400</v>
      </c>
    </row>
    <row r="429" spans="1:11" ht="15" customHeight="1">
      <c r="A429" s="96" t="s">
        <v>609</v>
      </c>
      <c r="B429" s="96" t="s">
        <v>610</v>
      </c>
      <c r="C429" s="98"/>
      <c r="D429" s="98"/>
      <c r="E429" s="98">
        <f>SUM(E430:E450)</f>
        <v>48320</v>
      </c>
      <c r="F429" s="98">
        <f>SUM(F430:F450)</f>
        <v>2494</v>
      </c>
      <c r="G429" s="98"/>
      <c r="H429" s="98"/>
      <c r="I429" s="181">
        <f t="shared" si="23"/>
        <v>48320</v>
      </c>
      <c r="J429" s="181">
        <f t="shared" si="23"/>
        <v>2494</v>
      </c>
      <c r="K429" s="195">
        <f t="shared" si="22"/>
        <v>50814</v>
      </c>
    </row>
    <row r="430" spans="1:11" ht="15" customHeight="1">
      <c r="A430" s="95"/>
      <c r="B430" s="116" t="s">
        <v>43</v>
      </c>
      <c r="C430" s="99"/>
      <c r="D430" s="99"/>
      <c r="E430" s="99">
        <v>2200</v>
      </c>
      <c r="F430" s="99"/>
      <c r="G430" s="99"/>
      <c r="H430" s="99"/>
      <c r="I430" s="182">
        <f t="shared" si="23"/>
        <v>2200</v>
      </c>
      <c r="J430" s="84"/>
      <c r="K430" s="53">
        <f t="shared" si="22"/>
        <v>2200</v>
      </c>
    </row>
    <row r="431" spans="1:11" ht="15" customHeight="1">
      <c r="A431" s="95"/>
      <c r="B431" s="116" t="s">
        <v>44</v>
      </c>
      <c r="C431" s="99"/>
      <c r="D431" s="99"/>
      <c r="E431" s="99">
        <v>3000</v>
      </c>
      <c r="F431" s="99"/>
      <c r="G431" s="99"/>
      <c r="H431" s="99"/>
      <c r="I431" s="182">
        <f t="shared" si="23"/>
        <v>3000</v>
      </c>
      <c r="J431" s="84"/>
      <c r="K431" s="53">
        <f t="shared" si="22"/>
        <v>3000</v>
      </c>
    </row>
    <row r="432" spans="1:11" ht="15" customHeight="1">
      <c r="A432" s="95"/>
      <c r="B432" s="116" t="s">
        <v>695</v>
      </c>
      <c r="C432" s="99"/>
      <c r="D432" s="99"/>
      <c r="E432" s="99">
        <v>1875</v>
      </c>
      <c r="F432" s="99"/>
      <c r="G432" s="99"/>
      <c r="H432" s="99"/>
      <c r="I432" s="182">
        <f t="shared" si="23"/>
        <v>1875</v>
      </c>
      <c r="J432" s="84"/>
      <c r="K432" s="53">
        <f t="shared" si="22"/>
        <v>1875</v>
      </c>
    </row>
    <row r="433" spans="1:11" ht="15" customHeight="1">
      <c r="A433" s="95"/>
      <c r="B433" s="116" t="s">
        <v>611</v>
      </c>
      <c r="C433" s="99"/>
      <c r="D433" s="99"/>
      <c r="E433" s="99">
        <v>1200</v>
      </c>
      <c r="F433" s="99"/>
      <c r="G433" s="99"/>
      <c r="H433" s="99"/>
      <c r="I433" s="182">
        <f t="shared" si="23"/>
        <v>1200</v>
      </c>
      <c r="J433" s="84"/>
      <c r="K433" s="53">
        <f t="shared" si="22"/>
        <v>1200</v>
      </c>
    </row>
    <row r="434" spans="1:11" ht="15" customHeight="1">
      <c r="A434" s="95"/>
      <c r="B434" s="116" t="s">
        <v>523</v>
      </c>
      <c r="C434" s="99"/>
      <c r="D434" s="99"/>
      <c r="E434" s="99">
        <v>550</v>
      </c>
      <c r="F434" s="99"/>
      <c r="G434" s="99"/>
      <c r="H434" s="99"/>
      <c r="I434" s="182">
        <f t="shared" si="23"/>
        <v>550</v>
      </c>
      <c r="J434" s="84"/>
      <c r="K434" s="53">
        <f t="shared" si="22"/>
        <v>550</v>
      </c>
    </row>
    <row r="435" spans="1:11" ht="15" customHeight="1">
      <c r="A435" s="95"/>
      <c r="B435" s="116" t="s">
        <v>524</v>
      </c>
      <c r="C435" s="99"/>
      <c r="D435" s="99"/>
      <c r="E435" s="99">
        <v>1300</v>
      </c>
      <c r="F435" s="99"/>
      <c r="G435" s="99"/>
      <c r="H435" s="99"/>
      <c r="I435" s="182">
        <f t="shared" si="23"/>
        <v>1300</v>
      </c>
      <c r="J435" s="84"/>
      <c r="K435" s="53">
        <f t="shared" si="22"/>
        <v>1300</v>
      </c>
    </row>
    <row r="436" spans="1:11" ht="15" customHeight="1">
      <c r="A436" s="95"/>
      <c r="B436" s="116" t="s">
        <v>174</v>
      </c>
      <c r="C436" s="99"/>
      <c r="D436" s="99"/>
      <c r="E436" s="99">
        <v>1318</v>
      </c>
      <c r="F436" s="99"/>
      <c r="G436" s="99"/>
      <c r="H436" s="99"/>
      <c r="I436" s="182">
        <f t="shared" si="23"/>
        <v>1318</v>
      </c>
      <c r="J436" s="84"/>
      <c r="K436" s="53">
        <f t="shared" si="22"/>
        <v>1318</v>
      </c>
    </row>
    <row r="437" spans="1:11" ht="15" customHeight="1">
      <c r="A437" s="95"/>
      <c r="B437" s="116" t="s">
        <v>168</v>
      </c>
      <c r="C437" s="99"/>
      <c r="D437" s="99"/>
      <c r="E437" s="99">
        <v>3500</v>
      </c>
      <c r="F437" s="99"/>
      <c r="G437" s="99"/>
      <c r="H437" s="99"/>
      <c r="I437" s="182">
        <f t="shared" si="23"/>
        <v>3500</v>
      </c>
      <c r="J437" s="84"/>
      <c r="K437" s="53">
        <f t="shared" si="22"/>
        <v>3500</v>
      </c>
    </row>
    <row r="438" spans="1:11" ht="15" customHeight="1">
      <c r="A438" s="95"/>
      <c r="B438" s="116" t="s">
        <v>47</v>
      </c>
      <c r="C438" s="99"/>
      <c r="D438" s="99"/>
      <c r="E438" s="99">
        <v>2574</v>
      </c>
      <c r="F438" s="99"/>
      <c r="G438" s="99"/>
      <c r="H438" s="99"/>
      <c r="I438" s="182">
        <f t="shared" si="23"/>
        <v>2574</v>
      </c>
      <c r="J438" s="84"/>
      <c r="K438" s="53">
        <f t="shared" si="22"/>
        <v>2574</v>
      </c>
    </row>
    <row r="439" spans="1:11" ht="15" customHeight="1">
      <c r="A439" s="95"/>
      <c r="B439" s="116" t="s">
        <v>236</v>
      </c>
      <c r="C439" s="99"/>
      <c r="D439" s="99"/>
      <c r="E439" s="99">
        <v>6300</v>
      </c>
      <c r="F439" s="99"/>
      <c r="G439" s="99"/>
      <c r="H439" s="99"/>
      <c r="I439" s="182">
        <f t="shared" si="23"/>
        <v>6300</v>
      </c>
      <c r="J439" s="84"/>
      <c r="K439" s="53">
        <f t="shared" si="22"/>
        <v>6300</v>
      </c>
    </row>
    <row r="440" spans="1:11" ht="19.5" customHeight="1">
      <c r="A440" s="95"/>
      <c r="B440" s="116" t="s">
        <v>707</v>
      </c>
      <c r="C440" s="99"/>
      <c r="D440" s="99"/>
      <c r="E440" s="99">
        <v>1456</v>
      </c>
      <c r="F440" s="99"/>
      <c r="G440" s="99"/>
      <c r="H440" s="99"/>
      <c r="I440" s="182">
        <f t="shared" si="23"/>
        <v>1456</v>
      </c>
      <c r="J440" s="84"/>
      <c r="K440" s="53">
        <f t="shared" si="22"/>
        <v>1456</v>
      </c>
    </row>
    <row r="441" spans="1:11" ht="18.75" customHeight="1">
      <c r="A441" s="95"/>
      <c r="B441" s="116" t="s">
        <v>708</v>
      </c>
      <c r="C441" s="99"/>
      <c r="D441" s="99"/>
      <c r="E441" s="99">
        <v>500</v>
      </c>
      <c r="F441" s="99"/>
      <c r="G441" s="99"/>
      <c r="H441" s="99"/>
      <c r="I441" s="182">
        <f t="shared" si="23"/>
        <v>500</v>
      </c>
      <c r="J441" s="84"/>
      <c r="K441" s="53">
        <f t="shared" si="22"/>
        <v>500</v>
      </c>
    </row>
    <row r="442" spans="1:11" ht="15" customHeight="1">
      <c r="A442" s="95"/>
      <c r="B442" s="116" t="s">
        <v>164</v>
      </c>
      <c r="C442" s="99"/>
      <c r="D442" s="99"/>
      <c r="E442" s="99">
        <v>2500</v>
      </c>
      <c r="F442" s="99"/>
      <c r="G442" s="99"/>
      <c r="H442" s="99"/>
      <c r="I442" s="182">
        <f t="shared" si="23"/>
        <v>2500</v>
      </c>
      <c r="J442" s="84"/>
      <c r="K442" s="53">
        <f t="shared" si="22"/>
        <v>2500</v>
      </c>
    </row>
    <row r="443" spans="1:11" ht="15" customHeight="1">
      <c r="A443" s="95"/>
      <c r="B443" s="116" t="s">
        <v>261</v>
      </c>
      <c r="C443" s="99"/>
      <c r="D443" s="99"/>
      <c r="E443" s="99">
        <v>110</v>
      </c>
      <c r="F443" s="99"/>
      <c r="G443" s="99"/>
      <c r="H443" s="99"/>
      <c r="I443" s="182">
        <f t="shared" si="23"/>
        <v>110</v>
      </c>
      <c r="J443" s="84"/>
      <c r="K443" s="53">
        <f t="shared" si="22"/>
        <v>110</v>
      </c>
    </row>
    <row r="444" spans="1:11" ht="15" customHeight="1">
      <c r="A444" s="95"/>
      <c r="B444" s="116" t="s">
        <v>171</v>
      </c>
      <c r="C444" s="99"/>
      <c r="D444" s="99"/>
      <c r="E444" s="99">
        <v>1700</v>
      </c>
      <c r="F444" s="99"/>
      <c r="G444" s="99"/>
      <c r="H444" s="99"/>
      <c r="I444" s="182">
        <f t="shared" si="23"/>
        <v>1700</v>
      </c>
      <c r="J444" s="84"/>
      <c r="K444" s="53">
        <f t="shared" si="22"/>
        <v>1700</v>
      </c>
    </row>
    <row r="445" spans="1:11" ht="15" customHeight="1">
      <c r="A445" s="95"/>
      <c r="B445" s="116" t="s">
        <v>163</v>
      </c>
      <c r="C445" s="99"/>
      <c r="D445" s="99"/>
      <c r="E445" s="99">
        <v>5440</v>
      </c>
      <c r="F445" s="99"/>
      <c r="G445" s="99"/>
      <c r="H445" s="99"/>
      <c r="I445" s="182">
        <f>E445</f>
        <v>5440</v>
      </c>
      <c r="J445" s="84"/>
      <c r="K445" s="53">
        <f>I445+J445</f>
        <v>5440</v>
      </c>
    </row>
    <row r="446" spans="1:11" ht="15" customHeight="1">
      <c r="A446" s="95"/>
      <c r="B446" s="116" t="s">
        <v>176</v>
      </c>
      <c r="C446" s="99"/>
      <c r="D446" s="99"/>
      <c r="E446" s="99">
        <f>2000</f>
        <v>2000</v>
      </c>
      <c r="F446" s="99">
        <v>2494</v>
      </c>
      <c r="G446" s="99"/>
      <c r="H446" s="99"/>
      <c r="I446" s="182">
        <f t="shared" si="23"/>
        <v>2000</v>
      </c>
      <c r="J446" s="182">
        <f t="shared" si="23"/>
        <v>2494</v>
      </c>
      <c r="K446" s="53">
        <f t="shared" si="22"/>
        <v>4494</v>
      </c>
    </row>
    <row r="447" spans="1:11" ht="21" customHeight="1">
      <c r="A447" s="95"/>
      <c r="B447" s="116" t="s">
        <v>743</v>
      </c>
      <c r="C447" s="99"/>
      <c r="D447" s="99"/>
      <c r="E447" s="99">
        <v>5300</v>
      </c>
      <c r="F447" s="99"/>
      <c r="G447" s="99"/>
      <c r="H447" s="99"/>
      <c r="I447" s="182">
        <f t="shared" si="23"/>
        <v>5300</v>
      </c>
      <c r="J447" s="84"/>
      <c r="K447" s="53">
        <f t="shared" si="22"/>
        <v>5300</v>
      </c>
    </row>
    <row r="448" spans="1:11" ht="15.75">
      <c r="A448" s="95"/>
      <c r="B448" s="116" t="s">
        <v>510</v>
      </c>
      <c r="C448" s="99"/>
      <c r="D448" s="99"/>
      <c r="E448" s="92">
        <v>2314</v>
      </c>
      <c r="F448" s="92"/>
      <c r="G448" s="99"/>
      <c r="H448" s="99"/>
      <c r="I448" s="182">
        <f t="shared" si="23"/>
        <v>2314</v>
      </c>
      <c r="J448" s="84"/>
      <c r="K448" s="53">
        <f t="shared" si="22"/>
        <v>2314</v>
      </c>
    </row>
    <row r="449" spans="1:11" ht="15.75">
      <c r="A449" s="95"/>
      <c r="B449" s="117" t="s">
        <v>130</v>
      </c>
      <c r="C449" s="99"/>
      <c r="D449" s="99"/>
      <c r="E449" s="99">
        <v>1363</v>
      </c>
      <c r="F449" s="99"/>
      <c r="G449" s="99"/>
      <c r="H449" s="99"/>
      <c r="I449" s="182">
        <f t="shared" si="23"/>
        <v>1363</v>
      </c>
      <c r="J449" s="84"/>
      <c r="K449" s="53">
        <f t="shared" si="22"/>
        <v>1363</v>
      </c>
    </row>
    <row r="450" spans="1:11" ht="15.75">
      <c r="A450" s="95"/>
      <c r="B450" s="114" t="s">
        <v>131</v>
      </c>
      <c r="C450" s="99"/>
      <c r="D450" s="99"/>
      <c r="E450" s="99">
        <v>1820</v>
      </c>
      <c r="F450" s="99"/>
      <c r="G450" s="99"/>
      <c r="H450" s="99"/>
      <c r="I450" s="182">
        <f t="shared" si="23"/>
        <v>1820</v>
      </c>
      <c r="J450" s="84"/>
      <c r="K450" s="53">
        <f t="shared" si="22"/>
        <v>1820</v>
      </c>
    </row>
    <row r="451" spans="1:11" ht="63">
      <c r="A451" s="96" t="s">
        <v>612</v>
      </c>
      <c r="B451" s="97" t="s">
        <v>613</v>
      </c>
      <c r="C451" s="98"/>
      <c r="D451" s="98"/>
      <c r="E451" s="98">
        <f>E452+E454</f>
        <v>84000</v>
      </c>
      <c r="F451" s="98">
        <f>F452+F454</f>
        <v>97813</v>
      </c>
      <c r="G451" s="99"/>
      <c r="H451" s="98">
        <f>H456</f>
        <v>0</v>
      </c>
      <c r="I451" s="181">
        <f>E451</f>
        <v>84000</v>
      </c>
      <c r="J451" s="128">
        <f>H451</f>
        <v>0</v>
      </c>
      <c r="K451" s="195">
        <f>I451+J451</f>
        <v>84000</v>
      </c>
    </row>
    <row r="452" spans="1:11" ht="31.5">
      <c r="A452" s="96" t="s">
        <v>614</v>
      </c>
      <c r="B452" s="97" t="s">
        <v>615</v>
      </c>
      <c r="C452" s="98"/>
      <c r="D452" s="98"/>
      <c r="E452" s="98">
        <f>SUM(E453:E453)</f>
        <v>5000</v>
      </c>
      <c r="F452" s="98"/>
      <c r="G452" s="98"/>
      <c r="H452" s="98"/>
      <c r="I452" s="181">
        <f t="shared" si="23"/>
        <v>5000</v>
      </c>
      <c r="J452" s="84"/>
      <c r="K452" s="195">
        <f>I452+J452</f>
        <v>5000</v>
      </c>
    </row>
    <row r="453" spans="1:11" ht="15.75">
      <c r="A453" s="95"/>
      <c r="B453" s="114" t="s">
        <v>689</v>
      </c>
      <c r="C453" s="99"/>
      <c r="D453" s="99"/>
      <c r="E453" s="99">
        <v>5000</v>
      </c>
      <c r="F453" s="99"/>
      <c r="G453" s="99"/>
      <c r="H453" s="99"/>
      <c r="I453" s="182">
        <f t="shared" si="23"/>
        <v>5000</v>
      </c>
      <c r="J453" s="84"/>
      <c r="K453" s="53">
        <f t="shared" si="22"/>
        <v>5000</v>
      </c>
    </row>
    <row r="454" spans="1:11" ht="15.75">
      <c r="A454" s="96" t="s">
        <v>616</v>
      </c>
      <c r="B454" s="96" t="s">
        <v>617</v>
      </c>
      <c r="C454" s="98"/>
      <c r="D454" s="98"/>
      <c r="E454" s="98">
        <f>SUM(E455:E456)</f>
        <v>79000</v>
      </c>
      <c r="F454" s="98">
        <f>SUM(F455:F456)</f>
        <v>97813</v>
      </c>
      <c r="G454" s="98"/>
      <c r="H454" s="98"/>
      <c r="I454" s="181">
        <f>E454</f>
        <v>79000</v>
      </c>
      <c r="J454" s="83">
        <f>J456</f>
        <v>97813</v>
      </c>
      <c r="K454" s="195">
        <f t="shared" si="24" ref="K454:K460">I454+J454</f>
        <v>176813</v>
      </c>
    </row>
    <row r="455" spans="1:11" ht="15.75">
      <c r="A455" s="95"/>
      <c r="B455" s="95" t="s">
        <v>690</v>
      </c>
      <c r="C455" s="99"/>
      <c r="D455" s="99"/>
      <c r="E455" s="92">
        <v>70000</v>
      </c>
      <c r="F455" s="92"/>
      <c r="G455" s="99"/>
      <c r="H455" s="99"/>
      <c r="I455" s="181">
        <f t="shared" si="25" ref="I455:I462">E455</f>
        <v>70000</v>
      </c>
      <c r="J455" s="84"/>
      <c r="K455" s="53">
        <f t="shared" si="24"/>
        <v>70000</v>
      </c>
    </row>
    <row r="456" spans="1:13" ht="15.75">
      <c r="A456" s="197" t="s">
        <v>850</v>
      </c>
      <c r="B456" s="218" t="s">
        <v>851</v>
      </c>
      <c r="C456" s="95"/>
      <c r="D456" s="95"/>
      <c r="E456" s="96">
        <f>E460+E461+E462+E458</f>
        <v>9000</v>
      </c>
      <c r="F456" s="98">
        <f>F460+F461+F462+F458+F457+F459</f>
        <v>97813</v>
      </c>
      <c r="G456" s="95"/>
      <c r="H456" s="98">
        <f>SUM(H457:H462)</f>
        <v>0</v>
      </c>
      <c r="I456" s="181">
        <f>E456</f>
        <v>9000</v>
      </c>
      <c r="J456" s="181">
        <f>F456</f>
        <v>97813</v>
      </c>
      <c r="K456" s="195">
        <f t="shared" si="24"/>
        <v>106813</v>
      </c>
      <c r="L456" s="76"/>
      <c r="M456" s="76"/>
    </row>
    <row r="457" spans="1:13" ht="27.75" customHeight="1">
      <c r="A457" s="197"/>
      <c r="B457" s="257" t="s">
        <v>894</v>
      </c>
      <c r="C457" s="95"/>
      <c r="D457" s="95"/>
      <c r="E457" s="96"/>
      <c r="F457" s="259">
        <v>23808</v>
      </c>
      <c r="G457" s="95"/>
      <c r="H457" s="99"/>
      <c r="I457" s="182">
        <v>0</v>
      </c>
      <c r="J457" s="53">
        <f>F457</f>
        <v>23808</v>
      </c>
      <c r="K457" s="53">
        <f t="shared" si="24"/>
        <v>23808</v>
      </c>
      <c r="L457" s="76"/>
      <c r="M457" s="76"/>
    </row>
    <row r="458" spans="1:13" ht="30">
      <c r="A458" s="197"/>
      <c r="B458" s="258" t="s">
        <v>890</v>
      </c>
      <c r="C458" s="95"/>
      <c r="D458" s="95"/>
      <c r="E458" s="96"/>
      <c r="F458" s="99">
        <v>70887</v>
      </c>
      <c r="G458" s="95"/>
      <c r="H458" s="99"/>
      <c r="I458" s="181">
        <v>0</v>
      </c>
      <c r="J458" s="53">
        <f>F458</f>
        <v>70887</v>
      </c>
      <c r="K458" s="53">
        <f t="shared" si="24"/>
        <v>70887</v>
      </c>
      <c r="L458" s="76"/>
      <c r="M458" s="76"/>
    </row>
    <row r="459" spans="1:13" ht="36.75" customHeight="1">
      <c r="A459" s="197"/>
      <c r="B459" s="258" t="s">
        <v>886</v>
      </c>
      <c r="C459" s="95"/>
      <c r="D459" s="95"/>
      <c r="E459" s="96"/>
      <c r="F459" s="99">
        <v>3118</v>
      </c>
      <c r="G459" s="95"/>
      <c r="H459" s="99"/>
      <c r="I459" s="181">
        <v>0</v>
      </c>
      <c r="J459" s="53">
        <f>F459</f>
        <v>3118</v>
      </c>
      <c r="K459" s="53">
        <f t="shared" si="24"/>
        <v>3118</v>
      </c>
      <c r="L459" s="76"/>
      <c r="M459" s="76"/>
    </row>
    <row r="460" spans="1:13" ht="31.5">
      <c r="A460" s="197"/>
      <c r="B460" s="217" t="s">
        <v>848</v>
      </c>
      <c r="C460" s="95"/>
      <c r="D460" s="95"/>
      <c r="E460" s="95">
        <v>3500</v>
      </c>
      <c r="F460" s="95"/>
      <c r="G460" s="95"/>
      <c r="H460" s="84"/>
      <c r="I460" s="181">
        <f t="shared" si="25"/>
        <v>3500</v>
      </c>
      <c r="J460" s="84"/>
      <c r="K460" s="53">
        <f t="shared" si="24"/>
        <v>3500</v>
      </c>
      <c r="L460" s="76"/>
      <c r="M460" s="76"/>
    </row>
    <row r="461" spans="1:13" ht="31.5">
      <c r="A461" s="197"/>
      <c r="B461" s="71" t="s">
        <v>849</v>
      </c>
      <c r="C461" s="95"/>
      <c r="D461" s="95"/>
      <c r="E461" s="95">
        <v>2000</v>
      </c>
      <c r="F461" s="95"/>
      <c r="G461" s="95"/>
      <c r="H461" s="84"/>
      <c r="I461" s="181">
        <f t="shared" si="25"/>
        <v>2000</v>
      </c>
      <c r="J461" s="84"/>
      <c r="K461" s="53">
        <f t="shared" si="26" ref="K461:K462">I461+J461</f>
        <v>2000</v>
      </c>
      <c r="L461" s="76"/>
      <c r="M461" s="76"/>
    </row>
    <row r="462" spans="1:13" ht="22.5" customHeight="1">
      <c r="A462" s="197"/>
      <c r="B462" s="71" t="s">
        <v>765</v>
      </c>
      <c r="C462" s="95"/>
      <c r="D462" s="95"/>
      <c r="E462" s="95">
        <v>3500</v>
      </c>
      <c r="F462" s="95"/>
      <c r="G462" s="95"/>
      <c r="H462" s="84"/>
      <c r="I462" s="181">
        <f t="shared" si="25"/>
        <v>3500</v>
      </c>
      <c r="J462" s="84"/>
      <c r="K462" s="53">
        <f t="shared" si="26"/>
        <v>3500</v>
      </c>
      <c r="L462" s="76"/>
      <c r="M462" s="76"/>
    </row>
    <row r="464" spans="2:2" ht="18.75">
      <c r="B464" s="121" t="s">
        <v>826</v>
      </c>
    </row>
  </sheetData>
  <mergeCells count="7">
    <mergeCell ref="J15:J16"/>
    <mergeCell ref="K15:K16"/>
    <mergeCell ref="A13:I13"/>
    <mergeCell ref="A15:A16"/>
    <mergeCell ref="B15:B16"/>
    <mergeCell ref="I15:I16"/>
    <mergeCell ref="C15:H15"/>
  </mergeCells>
  <pageMargins left="0.7" right="0.7" top="0.75" bottom="0.75" header="0.3" footer="0.3"/>
  <pageSetup orientation="landscape" paperSize="9" scale="4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2"/>
  <sheetViews>
    <sheetView workbookViewId="0" topLeftCell="A328">
      <selection pane="topLeft" activeCell="H4" sqref="H4"/>
    </sheetView>
  </sheetViews>
  <sheetFormatPr defaultRowHeight="15.75"/>
  <cols>
    <col min="1" max="1" width="14.4285714285714" customWidth="1"/>
    <col min="2" max="2" width="38.8571428571429" style="74" customWidth="1"/>
    <col min="3" max="3" width="18.2857142857143" style="24" customWidth="1"/>
    <col min="4" max="4" width="18.5714285714286" customWidth="1"/>
    <col min="5" max="5" width="15.7142857142857" customWidth="1"/>
    <col min="6" max="6" width="18.2857142857143" customWidth="1"/>
    <col min="7" max="7" width="17.2857142857143" customWidth="1"/>
    <col min="8" max="8" width="17.7142857142857" style="122" customWidth="1"/>
    <col min="9" max="9" width="14.4285714285714" customWidth="1"/>
    <col min="10" max="10" width="9.85714285714286" bestFit="1" customWidth="1"/>
  </cols>
  <sheetData>
    <row r="1" spans="1:7" ht="15" customHeight="1">
      <c r="A1" s="19"/>
      <c r="B1" s="76"/>
      <c r="C1" s="19"/>
      <c r="D1" s="20"/>
      <c r="E1" s="20"/>
      <c r="F1" s="19"/>
      <c r="G1" s="20"/>
    </row>
    <row r="2" spans="1:8" ht="15" customHeight="1">
      <c r="A2" s="19"/>
      <c r="B2" s="76"/>
      <c r="C2" s="19"/>
      <c r="E2" s="18"/>
      <c r="F2" s="19"/>
      <c r="G2" s="18"/>
      <c r="H2" s="123" t="s">
        <v>263</v>
      </c>
    </row>
    <row r="3" spans="1:8" ht="15" customHeight="1">
      <c r="A3" s="19"/>
      <c r="B3" s="76"/>
      <c r="C3" s="19"/>
      <c r="D3" s="18"/>
      <c r="E3" s="18"/>
      <c r="F3" s="19"/>
      <c r="G3" s="18"/>
      <c r="H3" s="124" t="s">
        <v>835</v>
      </c>
    </row>
    <row r="4" spans="1:8" ht="15" customHeight="1">
      <c r="A4" s="19"/>
      <c r="B4" s="76"/>
      <c r="C4" s="19"/>
      <c r="D4" s="18"/>
      <c r="E4" s="18"/>
      <c r="F4" s="19"/>
      <c r="G4" s="18"/>
      <c r="H4" s="124" t="s">
        <v>897</v>
      </c>
    </row>
    <row r="5" spans="1:8" ht="15" customHeight="1">
      <c r="A5" s="19"/>
      <c r="B5" s="76"/>
      <c r="C5" s="19"/>
      <c r="D5" s="19"/>
      <c r="E5" s="19"/>
      <c r="F5" s="19"/>
      <c r="G5" s="19"/>
      <c r="H5" s="124" t="s">
        <v>841</v>
      </c>
    </row>
    <row r="6" spans="1:8" ht="15" customHeight="1">
      <c r="A6" s="19"/>
      <c r="B6" s="76"/>
      <c r="C6" s="19"/>
      <c r="D6" s="19"/>
      <c r="E6" s="19"/>
      <c r="F6" s="19"/>
      <c r="G6" s="19"/>
      <c r="H6" s="124" t="s">
        <v>767</v>
      </c>
    </row>
    <row r="7" spans="1:8" ht="15" customHeight="1">
      <c r="A7" s="19"/>
      <c r="B7" s="76"/>
      <c r="C7" s="19"/>
      <c r="D7" s="19"/>
      <c r="E7" s="19"/>
      <c r="F7" s="19"/>
      <c r="G7" s="19"/>
      <c r="H7" s="124"/>
    </row>
    <row r="8" spans="1:8" ht="15" customHeight="1">
      <c r="A8" s="19"/>
      <c r="B8" s="76"/>
      <c r="C8" s="19"/>
      <c r="D8" s="19"/>
      <c r="E8" s="19"/>
      <c r="F8" s="19"/>
      <c r="G8" s="19"/>
      <c r="H8" s="123" t="s">
        <v>263</v>
      </c>
    </row>
    <row r="9" spans="1:8" ht="15" customHeight="1">
      <c r="A9" s="19"/>
      <c r="B9" s="76"/>
      <c r="C9" s="19"/>
      <c r="D9" s="19"/>
      <c r="E9" s="19"/>
      <c r="F9" s="19"/>
      <c r="G9" s="19"/>
      <c r="H9" s="124" t="s">
        <v>835</v>
      </c>
    </row>
    <row r="10" spans="1:8" ht="15" customHeight="1">
      <c r="A10" s="19"/>
      <c r="B10" s="76"/>
      <c r="C10" s="19"/>
      <c r="D10" s="19"/>
      <c r="E10" s="19"/>
      <c r="F10" s="19"/>
      <c r="G10" s="19"/>
      <c r="H10" s="124" t="s">
        <v>836</v>
      </c>
    </row>
    <row r="11" spans="1:8" ht="15" customHeight="1">
      <c r="A11" s="19"/>
      <c r="B11" s="76"/>
      <c r="C11" s="19"/>
      <c r="D11" s="19"/>
      <c r="E11" s="19"/>
      <c r="F11" s="19"/>
      <c r="G11" s="19"/>
      <c r="H11" s="124" t="s">
        <v>767</v>
      </c>
    </row>
    <row r="12" spans="1:8" ht="15" customHeight="1">
      <c r="A12" s="18"/>
      <c r="B12" s="152"/>
      <c r="C12" s="152"/>
      <c r="D12" s="152"/>
      <c r="E12" s="152"/>
      <c r="F12" s="152"/>
      <c r="G12" s="152"/>
      <c r="H12" s="125"/>
    </row>
    <row r="13" spans="1:8" ht="15" customHeight="1">
      <c r="A13" s="19"/>
      <c r="B13" s="153"/>
      <c r="C13" s="153" t="s">
        <v>770</v>
      </c>
      <c r="D13" s="153"/>
      <c r="E13" s="153"/>
      <c r="F13" s="153"/>
      <c r="G13" s="153"/>
      <c r="H13" s="125"/>
    </row>
    <row r="14" spans="1:8" ht="15" customHeight="1">
      <c r="A14" s="19"/>
      <c r="B14" s="101"/>
      <c r="C14" s="21"/>
      <c r="D14" s="22"/>
      <c r="E14" s="22"/>
      <c r="F14" s="22"/>
      <c r="G14" s="22"/>
      <c r="H14" s="126"/>
    </row>
    <row r="15" spans="1:8" ht="15" customHeight="1">
      <c r="A15" s="3" t="s">
        <v>264</v>
      </c>
      <c r="B15" s="4" t="s">
        <v>265</v>
      </c>
      <c r="C15" s="16"/>
      <c r="D15" s="176" t="s">
        <v>266</v>
      </c>
      <c r="E15" s="177"/>
      <c r="F15" s="177"/>
      <c r="G15" s="178"/>
      <c r="H15" s="5" t="s">
        <v>267</v>
      </c>
    </row>
    <row r="16" spans="1:8" ht="45" customHeight="1">
      <c r="A16" s="2"/>
      <c r="B16" s="4"/>
      <c r="C16" s="61" t="s">
        <v>688</v>
      </c>
      <c r="D16" s="61" t="s">
        <v>268</v>
      </c>
      <c r="E16" s="61" t="s">
        <v>269</v>
      </c>
      <c r="F16" s="61" t="s">
        <v>270</v>
      </c>
      <c r="G16" s="61" t="s">
        <v>271</v>
      </c>
      <c r="H16" s="5"/>
    </row>
    <row r="17" spans="1:10" ht="15" customHeight="1">
      <c r="A17" s="16"/>
      <c r="B17" s="17"/>
      <c r="C17" s="62">
        <f t="shared" si="0" ref="C17:H17">C18+C50+C54+C111+C181+C192+C247+C319+C88</f>
        <v>938499</v>
      </c>
      <c r="D17" s="62">
        <f t="shared" si="0"/>
        <v>20958408.98</v>
      </c>
      <c r="E17" s="62">
        <f t="shared" si="0"/>
        <v>4929816</v>
      </c>
      <c r="F17" s="62">
        <f t="shared" si="0"/>
        <v>8018586</v>
      </c>
      <c r="G17" s="62">
        <f t="shared" si="0"/>
        <v>974992</v>
      </c>
      <c r="H17" s="52">
        <f t="shared" si="0"/>
        <v>35862258.210000001</v>
      </c>
      <c r="I17" s="75"/>
      <c r="J17" s="260"/>
    </row>
    <row r="18" spans="1:9" ht="15" customHeight="1">
      <c r="A18" s="15" t="s">
        <v>272</v>
      </c>
      <c r="B18" s="83" t="s">
        <v>273</v>
      </c>
      <c r="C18" s="63">
        <f>SUM(C19:C49)</f>
        <v>5614</v>
      </c>
      <c r="D18" s="63">
        <f>SUM(D19:D49)</f>
        <v>3694071</v>
      </c>
      <c r="E18" s="63">
        <f t="shared" si="1" ref="E18:G18">SUM(E19:E49)</f>
        <v>12862</v>
      </c>
      <c r="F18" s="63">
        <f t="shared" si="1"/>
        <v>130710</v>
      </c>
      <c r="G18" s="63">
        <f t="shared" si="1"/>
        <v>0</v>
      </c>
      <c r="H18" s="52">
        <f>SUM(H19:H49)</f>
        <v>3843257</v>
      </c>
      <c r="I18" s="75"/>
    </row>
    <row r="19" spans="1:9" ht="15" customHeight="1">
      <c r="A19" s="56"/>
      <c r="B19" s="84" t="s">
        <v>1</v>
      </c>
      <c r="C19" s="64"/>
      <c r="D19" s="54">
        <f>H19-E19-G19-F19-C19</f>
        <v>1522773</v>
      </c>
      <c r="E19" s="54"/>
      <c r="F19" s="54"/>
      <c r="G19" s="54"/>
      <c r="H19" s="52">
        <f>'4.pielikums'!B18</f>
        <v>1522773</v>
      </c>
      <c r="I19" s="75"/>
    </row>
    <row r="20" spans="1:9" ht="15" customHeight="1">
      <c r="A20" s="56"/>
      <c r="B20" s="84" t="s">
        <v>2</v>
      </c>
      <c r="C20" s="64"/>
      <c r="D20" s="54">
        <f t="shared" si="2" ref="D20:D81">H20-E20-G20-F20-C20</f>
        <v>127701</v>
      </c>
      <c r="E20" s="54"/>
      <c r="F20" s="54"/>
      <c r="G20" s="54"/>
      <c r="H20" s="52">
        <f>'4.pielikums'!B19</f>
        <v>127701</v>
      </c>
      <c r="I20" s="75"/>
    </row>
    <row r="21" spans="1:9" ht="30" customHeight="1">
      <c r="A21" s="56"/>
      <c r="B21" s="94" t="s">
        <v>181</v>
      </c>
      <c r="C21" s="59"/>
      <c r="D21" s="54">
        <f t="shared" si="2"/>
        <v>255015</v>
      </c>
      <c r="E21" s="54"/>
      <c r="F21" s="54"/>
      <c r="G21" s="54"/>
      <c r="H21" s="52">
        <f>'4.pielikums'!B20</f>
        <v>255015</v>
      </c>
      <c r="I21" s="75"/>
    </row>
    <row r="22" spans="1:9" ht="15" customHeight="1">
      <c r="A22" s="56"/>
      <c r="B22" s="94" t="s">
        <v>213</v>
      </c>
      <c r="C22" s="59"/>
      <c r="D22" s="54">
        <f t="shared" si="2"/>
        <v>30000</v>
      </c>
      <c r="E22" s="54"/>
      <c r="F22" s="54"/>
      <c r="G22" s="54"/>
      <c r="H22" s="52">
        <f>'4.pielikums'!B21</f>
        <v>30000</v>
      </c>
      <c r="I22" s="75"/>
    </row>
    <row r="23" spans="1:9" ht="15" customHeight="1">
      <c r="A23" s="56"/>
      <c r="B23" s="94" t="s">
        <v>206</v>
      </c>
      <c r="C23" s="59"/>
      <c r="D23" s="54">
        <f>H23-E23-G23-F23-C23</f>
        <v>46653</v>
      </c>
      <c r="E23" s="54"/>
      <c r="F23" s="54"/>
      <c r="G23" s="54"/>
      <c r="H23" s="52">
        <f>'4.pielikums'!B23</f>
        <v>46653</v>
      </c>
      <c r="I23" s="75"/>
    </row>
    <row r="24" spans="1:9" ht="15" customHeight="1">
      <c r="A24" s="56"/>
      <c r="B24" s="95" t="s">
        <v>3</v>
      </c>
      <c r="C24" s="64"/>
      <c r="D24" s="54">
        <f t="shared" si="2"/>
        <v>37935</v>
      </c>
      <c r="E24" s="54">
        <v>115</v>
      </c>
      <c r="F24" s="54"/>
      <c r="G24" s="54"/>
      <c r="H24" s="52">
        <f>'4.pielikums'!B24</f>
        <v>38050</v>
      </c>
      <c r="I24" s="75"/>
    </row>
    <row r="25" spans="1:9" ht="15" customHeight="1">
      <c r="A25" s="56"/>
      <c r="B25" s="95" t="s">
        <v>95</v>
      </c>
      <c r="C25" s="64"/>
      <c r="D25" s="54">
        <f t="shared" si="2"/>
        <v>59813</v>
      </c>
      <c r="E25" s="54">
        <v>305</v>
      </c>
      <c r="F25" s="54"/>
      <c r="G25" s="54"/>
      <c r="H25" s="52">
        <f>'4.pielikums'!B25</f>
        <v>60118</v>
      </c>
      <c r="I25" s="75"/>
    </row>
    <row r="26" spans="1:9" ht="15" customHeight="1">
      <c r="A26" s="56"/>
      <c r="B26" s="95" t="s">
        <v>4</v>
      </c>
      <c r="C26" s="64"/>
      <c r="D26" s="54">
        <f t="shared" si="2"/>
        <v>26739</v>
      </c>
      <c r="E26" s="54"/>
      <c r="F26" s="54"/>
      <c r="G26" s="54"/>
      <c r="H26" s="52">
        <f>'4.pielikums'!B26</f>
        <v>26739</v>
      </c>
      <c r="I26" s="75"/>
    </row>
    <row r="27" spans="1:9" ht="15" customHeight="1">
      <c r="A27" s="56"/>
      <c r="B27" s="95" t="s">
        <v>5</v>
      </c>
      <c r="C27" s="64"/>
      <c r="D27" s="54">
        <f t="shared" si="2"/>
        <v>39943</v>
      </c>
      <c r="E27" s="53">
        <v>910</v>
      </c>
      <c r="F27" s="54"/>
      <c r="G27" s="54"/>
      <c r="H27" s="52">
        <f>'4.pielikums'!B27</f>
        <v>40853</v>
      </c>
      <c r="I27" s="75"/>
    </row>
    <row r="28" spans="1:9" ht="15" customHeight="1">
      <c r="A28" s="56"/>
      <c r="B28" s="95" t="s">
        <v>6</v>
      </c>
      <c r="C28" s="64"/>
      <c r="D28" s="54">
        <f t="shared" si="2"/>
        <v>24622</v>
      </c>
      <c r="E28" s="54"/>
      <c r="F28" s="54"/>
      <c r="G28" s="54"/>
      <c r="H28" s="52">
        <f>'4.pielikums'!B28</f>
        <v>24622</v>
      </c>
      <c r="I28" s="75"/>
    </row>
    <row r="29" spans="1:9" ht="15" customHeight="1">
      <c r="A29" s="56"/>
      <c r="B29" s="95" t="s">
        <v>7</v>
      </c>
      <c r="C29" s="64"/>
      <c r="D29" s="54">
        <f t="shared" si="2"/>
        <v>32263</v>
      </c>
      <c r="E29" s="54">
        <v>85</v>
      </c>
      <c r="F29" s="54"/>
      <c r="G29" s="54"/>
      <c r="H29" s="52">
        <f>'4.pielikums'!B29</f>
        <v>32348</v>
      </c>
      <c r="I29" s="75"/>
    </row>
    <row r="30" spans="1:9" ht="15" customHeight="1">
      <c r="A30" s="56"/>
      <c r="B30" s="95" t="s">
        <v>8</v>
      </c>
      <c r="C30" s="64"/>
      <c r="D30" s="54">
        <f t="shared" si="2"/>
        <v>40674</v>
      </c>
      <c r="E30" s="54">
        <v>0</v>
      </c>
      <c r="F30" s="54"/>
      <c r="G30" s="54"/>
      <c r="H30" s="52">
        <f>'4.pielikums'!B30</f>
        <v>40674</v>
      </c>
      <c r="I30" s="75"/>
    </row>
    <row r="31" spans="1:9" ht="15" customHeight="1">
      <c r="A31" s="56"/>
      <c r="B31" s="95" t="s">
        <v>96</v>
      </c>
      <c r="C31" s="64"/>
      <c r="D31" s="54">
        <f t="shared" si="2"/>
        <v>44556</v>
      </c>
      <c r="E31" s="54">
        <v>0</v>
      </c>
      <c r="F31" s="54"/>
      <c r="G31" s="54"/>
      <c r="H31" s="52">
        <f>'4.pielikums'!B31</f>
        <v>44556</v>
      </c>
      <c r="I31" s="75"/>
    </row>
    <row r="32" spans="1:9" ht="15" customHeight="1">
      <c r="A32" s="56"/>
      <c r="B32" s="95" t="s">
        <v>137</v>
      </c>
      <c r="C32" s="64"/>
      <c r="D32" s="54">
        <f t="shared" si="2"/>
        <v>30856</v>
      </c>
      <c r="E32" s="54"/>
      <c r="F32" s="54"/>
      <c r="G32" s="54"/>
      <c r="H32" s="52">
        <f>'4.pielikums'!B32</f>
        <v>30856</v>
      </c>
      <c r="I32" s="75"/>
    </row>
    <row r="33" spans="1:9" ht="15" customHeight="1">
      <c r="A33" s="56"/>
      <c r="B33" s="95" t="s">
        <v>9</v>
      </c>
      <c r="C33" s="64"/>
      <c r="D33" s="54">
        <f>H33-E33-G33-F33-C33</f>
        <v>20735</v>
      </c>
      <c r="E33" s="54"/>
      <c r="F33" s="54"/>
      <c r="G33" s="54"/>
      <c r="H33" s="52">
        <f>'4.pielikums'!B33</f>
        <v>20735</v>
      </c>
      <c r="I33" s="75"/>
    </row>
    <row r="34" spans="1:9" ht="15" customHeight="1">
      <c r="A34" s="56"/>
      <c r="B34" s="94" t="s">
        <v>97</v>
      </c>
      <c r="C34" s="59"/>
      <c r="D34" s="54">
        <f t="shared" si="2"/>
        <v>34119</v>
      </c>
      <c r="E34" s="89"/>
      <c r="F34" s="54"/>
      <c r="G34" s="54"/>
      <c r="H34" s="52">
        <f>'4.pielikums'!B34</f>
        <v>34119</v>
      </c>
      <c r="I34" s="75"/>
    </row>
    <row r="35" spans="1:9" ht="15" customHeight="1">
      <c r="A35" s="56"/>
      <c r="B35" s="94" t="s">
        <v>274</v>
      </c>
      <c r="C35" s="59"/>
      <c r="D35" s="54">
        <f t="shared" si="2"/>
        <v>37292</v>
      </c>
      <c r="E35" s="54">
        <v>1200</v>
      </c>
      <c r="F35" s="54"/>
      <c r="G35" s="54"/>
      <c r="H35" s="52">
        <f>'4.pielikums'!B35</f>
        <v>38492</v>
      </c>
      <c r="I35" s="75"/>
    </row>
    <row r="36" spans="1:9" ht="15" customHeight="1">
      <c r="A36" s="56"/>
      <c r="B36" s="94" t="s">
        <v>98</v>
      </c>
      <c r="C36" s="59"/>
      <c r="D36" s="54">
        <f t="shared" si="2"/>
        <v>20500</v>
      </c>
      <c r="E36" s="54"/>
      <c r="F36" s="54"/>
      <c r="G36" s="54"/>
      <c r="H36" s="52">
        <f>'4.pielikums'!B36</f>
        <v>20500</v>
      </c>
      <c r="I36" s="75"/>
    </row>
    <row r="37" spans="1:9" ht="15" customHeight="1">
      <c r="A37" s="56"/>
      <c r="B37" s="94" t="s">
        <v>99</v>
      </c>
      <c r="C37" s="59"/>
      <c r="D37" s="54">
        <f t="shared" si="2"/>
        <v>44173</v>
      </c>
      <c r="E37" s="54"/>
      <c r="F37" s="54"/>
      <c r="G37" s="54"/>
      <c r="H37" s="52">
        <f>'4.pielikums'!B37</f>
        <v>44173</v>
      </c>
      <c r="I37" s="75"/>
    </row>
    <row r="38" spans="1:9" ht="15" customHeight="1">
      <c r="A38" s="56"/>
      <c r="B38" s="95" t="s">
        <v>10</v>
      </c>
      <c r="C38" s="64"/>
      <c r="D38" s="54">
        <f t="shared" si="2"/>
        <v>35893</v>
      </c>
      <c r="E38" s="54">
        <f>500</f>
        <v>500</v>
      </c>
      <c r="F38" s="54"/>
      <c r="G38" s="54"/>
      <c r="H38" s="52">
        <f>'4.pielikums'!B38</f>
        <v>36393</v>
      </c>
      <c r="I38" s="75"/>
    </row>
    <row r="39" spans="1:9" ht="15" customHeight="1">
      <c r="A39" s="56"/>
      <c r="B39" s="95" t="s">
        <v>11</v>
      </c>
      <c r="C39" s="64"/>
      <c r="D39" s="54">
        <f t="shared" si="2"/>
        <v>30369</v>
      </c>
      <c r="E39" s="54"/>
      <c r="F39" s="54"/>
      <c r="G39" s="54"/>
      <c r="H39" s="52">
        <f>'4.pielikums'!B39</f>
        <v>30369</v>
      </c>
      <c r="I39" s="75"/>
    </row>
    <row r="40" spans="1:9" ht="15" customHeight="1">
      <c r="A40" s="56"/>
      <c r="B40" s="95" t="s">
        <v>100</v>
      </c>
      <c r="C40" s="64"/>
      <c r="D40" s="54">
        <f t="shared" si="2"/>
        <v>31242</v>
      </c>
      <c r="E40" s="54"/>
      <c r="F40" s="54"/>
      <c r="G40" s="54"/>
      <c r="H40" s="52">
        <f>'4.pielikums'!B40</f>
        <v>31242</v>
      </c>
      <c r="I40" s="75"/>
    </row>
    <row r="41" spans="1:9" ht="15" customHeight="1">
      <c r="A41" s="56"/>
      <c r="B41" s="95" t="s">
        <v>12</v>
      </c>
      <c r="C41" s="64"/>
      <c r="D41" s="54">
        <f t="shared" si="2"/>
        <v>39006</v>
      </c>
      <c r="E41" s="54">
        <f>67</f>
        <v>67</v>
      </c>
      <c r="F41" s="54"/>
      <c r="G41" s="54"/>
      <c r="H41" s="52">
        <f>'4.pielikums'!B41</f>
        <v>39073</v>
      </c>
      <c r="I41" s="75"/>
    </row>
    <row r="42" spans="1:9" ht="15" customHeight="1">
      <c r="A42" s="56"/>
      <c r="B42" s="94" t="s">
        <v>93</v>
      </c>
      <c r="C42" s="59"/>
      <c r="D42" s="54">
        <f t="shared" si="2"/>
        <v>50449</v>
      </c>
      <c r="E42" s="54">
        <v>1130</v>
      </c>
      <c r="F42" s="54"/>
      <c r="G42" s="54"/>
      <c r="H42" s="52">
        <f>'4.pielikums'!B42</f>
        <v>51579</v>
      </c>
      <c r="I42" s="75"/>
    </row>
    <row r="43" spans="1:9" ht="15" customHeight="1">
      <c r="A43" s="56"/>
      <c r="B43" s="94" t="s">
        <v>101</v>
      </c>
      <c r="C43" s="59"/>
      <c r="D43" s="54">
        <f t="shared" si="2"/>
        <v>34189</v>
      </c>
      <c r="E43" s="54"/>
      <c r="F43" s="54"/>
      <c r="G43" s="54"/>
      <c r="H43" s="52">
        <f>'4.pielikums'!B43</f>
        <v>34189</v>
      </c>
      <c r="I43" s="75"/>
    </row>
    <row r="44" spans="1:9" ht="30" customHeight="1">
      <c r="A44" s="56"/>
      <c r="B44" s="94" t="s">
        <v>94</v>
      </c>
      <c r="C44" s="59"/>
      <c r="D44" s="54">
        <f t="shared" si="2"/>
        <v>62491</v>
      </c>
      <c r="E44" s="54">
        <v>8550</v>
      </c>
      <c r="F44" s="54">
        <v>26000</v>
      </c>
      <c r="G44" s="54"/>
      <c r="H44" s="52">
        <f>'4.pielikums'!B44</f>
        <v>97041</v>
      </c>
      <c r="I44" s="75"/>
    </row>
    <row r="45" spans="1:9" ht="30" customHeight="1">
      <c r="A45" s="56"/>
      <c r="B45" s="94" t="s">
        <v>184</v>
      </c>
      <c r="C45" s="59"/>
      <c r="D45" s="54">
        <f t="shared" si="2"/>
        <v>881967</v>
      </c>
      <c r="E45" s="54"/>
      <c r="F45" s="54"/>
      <c r="G45" s="54"/>
      <c r="H45" s="52">
        <f>'4.pielikums'!B47</f>
        <v>881967</v>
      </c>
      <c r="I45" s="75"/>
    </row>
    <row r="46" spans="1:9" ht="15" customHeight="1">
      <c r="A46" s="56"/>
      <c r="B46" s="72" t="s">
        <v>13</v>
      </c>
      <c r="C46" s="59"/>
      <c r="D46" s="54">
        <f>H46-E46-G46-F46-C46</f>
        <v>5700</v>
      </c>
      <c r="E46" s="54"/>
      <c r="F46" s="54"/>
      <c r="G46" s="54"/>
      <c r="H46" s="52">
        <f>'4.pielikums'!B45</f>
        <v>5700</v>
      </c>
      <c r="I46" s="75"/>
    </row>
    <row r="47" spans="1:9" ht="15" customHeight="1">
      <c r="A47" s="56"/>
      <c r="B47" s="84" t="s">
        <v>14</v>
      </c>
      <c r="C47" s="64"/>
      <c r="D47" s="54">
        <f t="shared" si="2"/>
        <v>41674</v>
      </c>
      <c r="E47" s="54"/>
      <c r="F47" s="54"/>
      <c r="G47" s="54"/>
      <c r="H47" s="52">
        <f>'4.pielikums'!B46</f>
        <v>41674</v>
      </c>
      <c r="I47" s="75"/>
    </row>
    <row r="48" spans="1:9" ht="15" customHeight="1">
      <c r="A48" s="56"/>
      <c r="B48" s="84" t="s">
        <v>819</v>
      </c>
      <c r="C48" s="64"/>
      <c r="D48" s="54">
        <f t="shared" si="2"/>
        <v>4729</v>
      </c>
      <c r="E48" s="54"/>
      <c r="F48" s="54">
        <v>104710</v>
      </c>
      <c r="G48" s="54"/>
      <c r="H48" s="52">
        <f>'4.pielikums'!B22</f>
        <v>109439</v>
      </c>
      <c r="I48" s="75"/>
    </row>
    <row r="49" spans="1:9" ht="15" customHeight="1">
      <c r="A49" s="56"/>
      <c r="B49" s="84" t="s">
        <v>784</v>
      </c>
      <c r="C49" s="64">
        <v>5614</v>
      </c>
      <c r="D49" s="54"/>
      <c r="E49" s="54"/>
      <c r="F49" s="54"/>
      <c r="G49" s="54"/>
      <c r="H49" s="52">
        <f>'4.pielikums'!B341</f>
        <v>5614</v>
      </c>
      <c r="I49" s="75"/>
    </row>
    <row r="50" spans="1:9" ht="15" customHeight="1">
      <c r="A50" s="15" t="s">
        <v>275</v>
      </c>
      <c r="B50" s="85" t="s">
        <v>276</v>
      </c>
      <c r="C50" s="63">
        <f>SUM(C51:C53)</f>
        <v>0</v>
      </c>
      <c r="D50" s="63">
        <f t="shared" si="3" ref="D50:G50">SUM(D51:D53)</f>
        <v>292974</v>
      </c>
      <c r="E50" s="63">
        <f t="shared" si="3"/>
        <v>24440</v>
      </c>
      <c r="F50" s="63">
        <f t="shared" si="3"/>
        <v>5280</v>
      </c>
      <c r="G50" s="63">
        <f t="shared" si="3"/>
        <v>0</v>
      </c>
      <c r="H50" s="52">
        <f>SUM(H51:H53)</f>
        <v>322694</v>
      </c>
      <c r="I50" s="75"/>
    </row>
    <row r="51" spans="1:9" ht="15" customHeight="1">
      <c r="A51" s="65"/>
      <c r="B51" s="84" t="s">
        <v>15</v>
      </c>
      <c r="C51" s="64"/>
      <c r="D51" s="54">
        <f t="shared" si="2"/>
        <v>71921</v>
      </c>
      <c r="E51" s="92">
        <f>1400+1340+1200</f>
        <v>3940</v>
      </c>
      <c r="F51" s="54"/>
      <c r="G51" s="54"/>
      <c r="H51" s="52">
        <f>'4.pielikums'!B48</f>
        <v>75861</v>
      </c>
      <c r="I51" s="75"/>
    </row>
    <row r="52" spans="1:9" ht="15" customHeight="1">
      <c r="A52" s="56"/>
      <c r="B52" s="84" t="s">
        <v>16</v>
      </c>
      <c r="C52" s="64"/>
      <c r="D52" s="54">
        <f t="shared" si="2"/>
        <v>179947</v>
      </c>
      <c r="E52" s="92">
        <v>2000</v>
      </c>
      <c r="F52" s="54"/>
      <c r="G52" s="54"/>
      <c r="H52" s="52">
        <f>'4.pielikums'!B49</f>
        <v>181947</v>
      </c>
      <c r="I52" s="75"/>
    </row>
    <row r="53" spans="1:9" ht="15" customHeight="1">
      <c r="A53" s="56"/>
      <c r="B53" s="84" t="s">
        <v>60</v>
      </c>
      <c r="C53" s="64"/>
      <c r="D53" s="54">
        <f t="shared" si="2"/>
        <v>41106</v>
      </c>
      <c r="E53" s="92">
        <v>18500</v>
      </c>
      <c r="F53" s="54">
        <v>5280</v>
      </c>
      <c r="G53" s="54"/>
      <c r="H53" s="52">
        <f>'4.pielikums'!B50</f>
        <v>64886</v>
      </c>
      <c r="I53" s="75"/>
    </row>
    <row r="54" spans="1:9" ht="15" customHeight="1">
      <c r="A54" s="15" t="s">
        <v>277</v>
      </c>
      <c r="B54" s="83" t="s">
        <v>278</v>
      </c>
      <c r="C54" s="68">
        <f>SUM(C55:C86)</f>
        <v>469913</v>
      </c>
      <c r="D54" s="68">
        <f t="shared" si="4" ref="D54:E54">SUM(D55:D86)</f>
        <v>300909</v>
      </c>
      <c r="E54" s="68">
        <f t="shared" si="4"/>
        <v>19750</v>
      </c>
      <c r="F54" s="68">
        <f>SUM(F55:F87)</f>
        <v>1117982</v>
      </c>
      <c r="G54" s="68">
        <f>SUM(G55:G86)</f>
        <v>310704</v>
      </c>
      <c r="H54" s="52">
        <f>SUM(H55:H87)</f>
        <v>2219258</v>
      </c>
      <c r="I54" s="75"/>
    </row>
    <row r="55" spans="1:9" ht="15" customHeight="1">
      <c r="A55" s="65"/>
      <c r="B55" s="84" t="s">
        <v>279</v>
      </c>
      <c r="C55" s="64"/>
      <c r="D55" s="54">
        <f t="shared" si="2"/>
        <v>49824</v>
      </c>
      <c r="E55" s="92">
        <f>10000</f>
        <v>10000</v>
      </c>
      <c r="F55" s="54"/>
      <c r="G55" s="54"/>
      <c r="H55" s="52">
        <f>'4.pielikums'!B51</f>
        <v>59824</v>
      </c>
      <c r="I55" s="75"/>
    </row>
    <row r="56" spans="1:9" ht="30" customHeight="1">
      <c r="A56" s="56"/>
      <c r="B56" s="72" t="s">
        <v>280</v>
      </c>
      <c r="C56" s="59"/>
      <c r="D56" s="54">
        <f t="shared" si="2"/>
        <v>89707</v>
      </c>
      <c r="E56" s="54">
        <v>4000</v>
      </c>
      <c r="F56" s="89"/>
      <c r="G56" s="54"/>
      <c r="H56" s="52">
        <f>'4.pielikums'!B54</f>
        <v>93707</v>
      </c>
      <c r="I56" s="75"/>
    </row>
    <row r="57" spans="1:9" ht="23.25" customHeight="1">
      <c r="A57" s="56"/>
      <c r="B57" s="72" t="s">
        <v>139</v>
      </c>
      <c r="C57" s="59">
        <v>9632</v>
      </c>
      <c r="D57" s="54">
        <f t="shared" si="2"/>
        <v>743</v>
      </c>
      <c r="E57" s="54"/>
      <c r="F57" s="53">
        <v>60100</v>
      </c>
      <c r="G57" s="54"/>
      <c r="H57" s="52">
        <f>'4.pielikums'!B79</f>
        <v>70475</v>
      </c>
      <c r="I57" s="75"/>
    </row>
    <row r="58" spans="1:10" ht="15" customHeight="1">
      <c r="A58" s="66"/>
      <c r="B58" s="71" t="s">
        <v>68</v>
      </c>
      <c r="C58" s="59"/>
      <c r="D58" s="54">
        <f>H58-E58-G58-F58-C58</f>
        <v>0</v>
      </c>
      <c r="E58" s="54"/>
      <c r="F58" s="54">
        <v>104110</v>
      </c>
      <c r="G58" s="54"/>
      <c r="H58" s="52">
        <f>'4.pielikums'!B56</f>
        <v>104110</v>
      </c>
      <c r="I58" s="75"/>
      <c r="J58" s="80"/>
    </row>
    <row r="59" spans="1:9" ht="30" customHeight="1">
      <c r="A59" s="66"/>
      <c r="B59" s="71" t="s">
        <v>223</v>
      </c>
      <c r="C59" s="59">
        <v>8828</v>
      </c>
      <c r="D59" s="54">
        <f t="shared" si="2"/>
        <v>0</v>
      </c>
      <c r="E59" s="54"/>
      <c r="F59" s="54">
        <v>56751</v>
      </c>
      <c r="G59" s="54"/>
      <c r="H59" s="52">
        <f>'4.pielikums'!B57</f>
        <v>65579</v>
      </c>
      <c r="I59" s="75"/>
    </row>
    <row r="60" spans="1:9" ht="30" customHeight="1">
      <c r="A60" s="66"/>
      <c r="B60" s="71" t="s">
        <v>69</v>
      </c>
      <c r="C60" s="58">
        <v>649</v>
      </c>
      <c r="D60" s="54">
        <f t="shared" si="2"/>
        <v>0</v>
      </c>
      <c r="E60" s="54"/>
      <c r="F60" s="54">
        <v>27900</v>
      </c>
      <c r="G60" s="54"/>
      <c r="H60" s="52">
        <f>'4.pielikums'!B58</f>
        <v>28549</v>
      </c>
      <c r="I60" s="75"/>
    </row>
    <row r="61" spans="1:9" ht="30" customHeight="1">
      <c r="A61" s="66"/>
      <c r="B61" s="71" t="s">
        <v>70</v>
      </c>
      <c r="C61" s="58">
        <v>4366</v>
      </c>
      <c r="D61" s="54">
        <f t="shared" si="2"/>
        <v>0</v>
      </c>
      <c r="E61" s="54"/>
      <c r="F61" s="54">
        <v>20386</v>
      </c>
      <c r="G61" s="54"/>
      <c r="H61" s="52">
        <f>'4.pielikums'!B59</f>
        <v>24752</v>
      </c>
      <c r="I61" s="75"/>
    </row>
    <row r="62" spans="1:9" ht="30" customHeight="1">
      <c r="A62" s="66"/>
      <c r="B62" s="71" t="s">
        <v>71</v>
      </c>
      <c r="C62" s="58">
        <v>25610</v>
      </c>
      <c r="D62" s="54">
        <f t="shared" si="2"/>
        <v>0</v>
      </c>
      <c r="E62" s="54"/>
      <c r="F62" s="54">
        <v>44096</v>
      </c>
      <c r="G62" s="54"/>
      <c r="H62" s="52">
        <f>'4.pielikums'!B60</f>
        <v>69706</v>
      </c>
      <c r="I62" s="75"/>
    </row>
    <row r="63" spans="1:9" ht="30" customHeight="1">
      <c r="A63" s="66"/>
      <c r="B63" s="71" t="s">
        <v>72</v>
      </c>
      <c r="C63" s="58">
        <v>14147</v>
      </c>
      <c r="D63" s="54">
        <f t="shared" si="2"/>
        <v>0</v>
      </c>
      <c r="E63" s="54"/>
      <c r="F63" s="54">
        <v>23821</v>
      </c>
      <c r="G63" s="54"/>
      <c r="H63" s="52">
        <f>'4.pielikums'!B61</f>
        <v>37968</v>
      </c>
      <c r="I63" s="75"/>
    </row>
    <row r="64" spans="1:9" ht="30" customHeight="1">
      <c r="A64" s="66"/>
      <c r="B64" s="71" t="s">
        <v>73</v>
      </c>
      <c r="C64" s="58">
        <v>6916</v>
      </c>
      <c r="D64" s="54">
        <f>H64-E64-G64-F64-C64</f>
        <v>0</v>
      </c>
      <c r="E64" s="54"/>
      <c r="F64" s="54">
        <v>18272</v>
      </c>
      <c r="G64" s="54"/>
      <c r="H64" s="52">
        <f>'4.pielikums'!B62</f>
        <v>25188</v>
      </c>
      <c r="I64" s="75"/>
    </row>
    <row r="65" spans="1:9" ht="30" customHeight="1">
      <c r="A65" s="66"/>
      <c r="B65" s="71" t="s">
        <v>74</v>
      </c>
      <c r="C65" s="58"/>
      <c r="D65" s="54">
        <f t="shared" si="2"/>
        <v>0</v>
      </c>
      <c r="E65" s="54"/>
      <c r="F65" s="54">
        <v>34470</v>
      </c>
      <c r="G65" s="54"/>
      <c r="H65" s="52">
        <f>'4.pielikums'!B63</f>
        <v>34470</v>
      </c>
      <c r="I65" s="75"/>
    </row>
    <row r="66" spans="1:9" ht="30" customHeight="1">
      <c r="A66" s="66"/>
      <c r="B66" s="71" t="s">
        <v>221</v>
      </c>
      <c r="C66" s="58">
        <v>5988</v>
      </c>
      <c r="D66" s="54">
        <f t="shared" si="2"/>
        <v>0</v>
      </c>
      <c r="E66" s="54"/>
      <c r="F66" s="54">
        <v>11227</v>
      </c>
      <c r="G66" s="54"/>
      <c r="H66" s="52">
        <f>'4.pielikums'!B64</f>
        <v>17215</v>
      </c>
      <c r="I66" s="75"/>
    </row>
    <row r="67" spans="1:9" ht="30" customHeight="1">
      <c r="A67" s="66"/>
      <c r="B67" s="71" t="s">
        <v>75</v>
      </c>
      <c r="C67" s="58">
        <v>624</v>
      </c>
      <c r="D67" s="54">
        <f t="shared" si="2"/>
        <v>0</v>
      </c>
      <c r="E67" s="54"/>
      <c r="F67" s="54">
        <v>14851</v>
      </c>
      <c r="G67" s="54"/>
      <c r="H67" s="52">
        <f>'4.pielikums'!B65</f>
        <v>15475</v>
      </c>
      <c r="I67" s="75"/>
    </row>
    <row r="68" spans="1:9" ht="30" customHeight="1">
      <c r="A68" s="66"/>
      <c r="B68" s="71" t="s">
        <v>219</v>
      </c>
      <c r="C68" s="58">
        <v>21204</v>
      </c>
      <c r="D68" s="54">
        <f>H68-E68-G68-F68-C68</f>
        <v>0</v>
      </c>
      <c r="E68" s="54"/>
      <c r="F68" s="54">
        <v>48840</v>
      </c>
      <c r="G68" s="54"/>
      <c r="H68" s="52">
        <f>'4.pielikums'!B66</f>
        <v>70044</v>
      </c>
      <c r="I68" s="75"/>
    </row>
    <row r="69" spans="1:9" ht="30" customHeight="1">
      <c r="A69" s="66"/>
      <c r="B69" s="71" t="s">
        <v>220</v>
      </c>
      <c r="C69" s="58">
        <v>4426</v>
      </c>
      <c r="D69" s="54">
        <f t="shared" si="2"/>
        <v>0</v>
      </c>
      <c r="E69" s="54"/>
      <c r="F69" s="54">
        <v>35064</v>
      </c>
      <c r="G69" s="54"/>
      <c r="H69" s="52">
        <f>'4.pielikums'!B68</f>
        <v>39490</v>
      </c>
      <c r="I69" s="75"/>
    </row>
    <row r="70" spans="1:9" ht="30" customHeight="1">
      <c r="A70" s="66"/>
      <c r="B70" s="71" t="s">
        <v>222</v>
      </c>
      <c r="C70" s="58">
        <v>202031</v>
      </c>
      <c r="D70" s="54">
        <f t="shared" si="2"/>
        <v>0</v>
      </c>
      <c r="E70" s="54"/>
      <c r="F70" s="54">
        <v>70422</v>
      </c>
      <c r="G70" s="54"/>
      <c r="H70" s="52">
        <f>'4.pielikums'!B69</f>
        <v>272453</v>
      </c>
      <c r="I70" s="75"/>
    </row>
    <row r="71" spans="1:9" ht="30" customHeight="1">
      <c r="A71" s="66"/>
      <c r="B71" s="71" t="s">
        <v>224</v>
      </c>
      <c r="C71" s="58">
        <v>21990</v>
      </c>
      <c r="D71" s="54">
        <f>H71-E71-G71-F71-C71</f>
        <v>0</v>
      </c>
      <c r="E71" s="54"/>
      <c r="F71" s="54">
        <v>30329</v>
      </c>
      <c r="G71" s="54"/>
      <c r="H71" s="52">
        <f>'4.pielikums'!B70</f>
        <v>52319</v>
      </c>
      <c r="I71" s="75"/>
    </row>
    <row r="72" spans="1:9" ht="30" customHeight="1">
      <c r="A72" s="66"/>
      <c r="B72" s="71" t="s">
        <v>225</v>
      </c>
      <c r="C72" s="58">
        <v>31095</v>
      </c>
      <c r="D72" s="54">
        <f t="shared" si="2"/>
        <v>0</v>
      </c>
      <c r="E72" s="54"/>
      <c r="F72" s="54">
        <v>52426</v>
      </c>
      <c r="G72" s="54"/>
      <c r="H72" s="52">
        <f>'4.pielikums'!B71</f>
        <v>83521</v>
      </c>
      <c r="I72" s="75"/>
    </row>
    <row r="73" spans="1:9" ht="30" customHeight="1">
      <c r="A73" s="66"/>
      <c r="B73" s="71" t="s">
        <v>76</v>
      </c>
      <c r="C73" s="58">
        <v>10270</v>
      </c>
      <c r="D73" s="54">
        <f t="shared" si="2"/>
        <v>0</v>
      </c>
      <c r="E73" s="54"/>
      <c r="F73" s="54">
        <v>38359</v>
      </c>
      <c r="G73" s="54"/>
      <c r="H73" s="52">
        <f>'4.pielikums'!B72</f>
        <v>48629</v>
      </c>
      <c r="I73" s="75"/>
    </row>
    <row r="74" spans="1:9" ht="30" customHeight="1">
      <c r="A74" s="66"/>
      <c r="B74" s="71" t="s">
        <v>77</v>
      </c>
      <c r="C74" s="58">
        <v>6493</v>
      </c>
      <c r="D74" s="54">
        <f t="shared" si="2"/>
        <v>0</v>
      </c>
      <c r="E74" s="54"/>
      <c r="F74" s="54">
        <v>13853</v>
      </c>
      <c r="G74" s="54"/>
      <c r="H74" s="52">
        <f>'4.pielikums'!B73</f>
        <v>20346</v>
      </c>
      <c r="I74" s="75"/>
    </row>
    <row r="75" spans="1:9" ht="30" customHeight="1">
      <c r="A75" s="66"/>
      <c r="B75" s="71" t="s">
        <v>228</v>
      </c>
      <c r="C75" s="59">
        <v>7757</v>
      </c>
      <c r="D75" s="54">
        <f t="shared" si="2"/>
        <v>0</v>
      </c>
      <c r="E75" s="54"/>
      <c r="F75" s="54">
        <v>23929</v>
      </c>
      <c r="G75" s="54"/>
      <c r="H75" s="52">
        <f>'4.pielikums'!B74</f>
        <v>31686</v>
      </c>
      <c r="I75" s="75"/>
    </row>
    <row r="76" spans="1:9" ht="30" customHeight="1">
      <c r="A76" s="66"/>
      <c r="B76" s="71" t="s">
        <v>78</v>
      </c>
      <c r="C76" s="58">
        <v>6092</v>
      </c>
      <c r="D76" s="54">
        <f t="shared" si="2"/>
        <v>0</v>
      </c>
      <c r="E76" s="54"/>
      <c r="F76" s="54">
        <v>23719</v>
      </c>
      <c r="G76" s="54"/>
      <c r="H76" s="52">
        <f>'4.pielikums'!B75</f>
        <v>29811</v>
      </c>
      <c r="I76" s="75"/>
    </row>
    <row r="77" spans="1:9" ht="30" customHeight="1">
      <c r="A77" s="66"/>
      <c r="B77" s="71" t="s">
        <v>226</v>
      </c>
      <c r="C77" s="58">
        <v>411</v>
      </c>
      <c r="D77" s="54">
        <f t="shared" si="2"/>
        <v>0</v>
      </c>
      <c r="E77" s="54"/>
      <c r="F77" s="54">
        <v>9382</v>
      </c>
      <c r="G77" s="54"/>
      <c r="H77" s="52">
        <f>'4.pielikums'!B76</f>
        <v>9793</v>
      </c>
      <c r="I77" s="75"/>
    </row>
    <row r="78" spans="1:10" ht="30" customHeight="1">
      <c r="A78" s="66"/>
      <c r="B78" s="71" t="s">
        <v>227</v>
      </c>
      <c r="C78" s="90"/>
      <c r="D78" s="54">
        <f t="shared" si="2"/>
        <v>0</v>
      </c>
      <c r="E78" s="54"/>
      <c r="F78" s="54">
        <v>24565</v>
      </c>
      <c r="G78" s="54"/>
      <c r="H78" s="52">
        <f>'4.pielikums'!B77</f>
        <v>24565</v>
      </c>
      <c r="I78" s="75"/>
      <c r="J78" s="75"/>
    </row>
    <row r="79" spans="1:11" ht="30" customHeight="1">
      <c r="A79" s="66"/>
      <c r="B79" s="102" t="s">
        <v>736</v>
      </c>
      <c r="C79" s="59">
        <f>81384-18861</f>
        <v>62523</v>
      </c>
      <c r="D79" s="54">
        <f>H79-E79-G79-F79-C79</f>
        <v>0</v>
      </c>
      <c r="E79" s="54"/>
      <c r="F79" s="54">
        <v>236363</v>
      </c>
      <c r="G79" s="54"/>
      <c r="H79" s="52">
        <f>'4.pielikums'!B78</f>
        <v>298886</v>
      </c>
      <c r="I79" s="75"/>
      <c r="J79" s="75"/>
      <c r="K79" s="75"/>
    </row>
    <row r="80" spans="1:9" ht="15" customHeight="1">
      <c r="A80" s="66"/>
      <c r="B80" s="103" t="s">
        <v>140</v>
      </c>
      <c r="C80" s="59"/>
      <c r="D80" s="54">
        <f t="shared" si="2"/>
        <v>12914</v>
      </c>
      <c r="E80" s="92">
        <v>5750</v>
      </c>
      <c r="F80" s="54"/>
      <c r="G80" s="54"/>
      <c r="H80" s="52">
        <f>'4.pielikums'!B80</f>
        <v>18664</v>
      </c>
      <c r="I80" s="75"/>
    </row>
    <row r="81" spans="1:9" ht="30" customHeight="1">
      <c r="A81" s="56"/>
      <c r="B81" s="72" t="s">
        <v>63</v>
      </c>
      <c r="C81" s="59"/>
      <c r="D81" s="54">
        <f t="shared" si="2"/>
        <v>3721</v>
      </c>
      <c r="E81" s="54"/>
      <c r="F81" s="54"/>
      <c r="G81" s="54"/>
      <c r="H81" s="52">
        <f>'4.pielikums'!B53</f>
        <v>3721</v>
      </c>
      <c r="I81" s="75"/>
    </row>
    <row r="82" spans="1:9" ht="15" customHeight="1">
      <c r="A82" s="56"/>
      <c r="B82" s="72" t="s">
        <v>18</v>
      </c>
      <c r="C82" s="59"/>
      <c r="D82" s="54">
        <f t="shared" si="5" ref="D82:D110">H82-E82-G82-F82-C82</f>
        <v>90000</v>
      </c>
      <c r="E82" s="54"/>
      <c r="F82" s="54"/>
      <c r="G82" s="54"/>
      <c r="H82" s="52">
        <f>'4.pielikums'!B52</f>
        <v>90000</v>
      </c>
      <c r="I82" s="75"/>
    </row>
    <row r="83" spans="1:9" ht="18" customHeight="1">
      <c r="A83" s="56"/>
      <c r="B83" s="72" t="s">
        <v>281</v>
      </c>
      <c r="C83" s="59"/>
      <c r="D83" s="54">
        <f t="shared" si="5"/>
        <v>50000</v>
      </c>
      <c r="E83" s="54"/>
      <c r="F83" s="54"/>
      <c r="G83" s="54"/>
      <c r="H83" s="52">
        <f>'4.pielikums'!B55</f>
        <v>50000</v>
      </c>
      <c r="I83" s="75"/>
    </row>
    <row r="84" spans="1:9" ht="19.5" customHeight="1">
      <c r="A84" s="56"/>
      <c r="B84" s="72" t="s">
        <v>766</v>
      </c>
      <c r="C84" s="59">
        <v>18861</v>
      </c>
      <c r="D84" s="54">
        <f t="shared" si="5"/>
        <v>0</v>
      </c>
      <c r="E84" s="54"/>
      <c r="F84" s="54"/>
      <c r="G84" s="54">
        <v>169752</v>
      </c>
      <c r="H84" s="52">
        <f>'4.pielikums'!B336</f>
        <v>188613</v>
      </c>
      <c r="I84" s="75"/>
    </row>
    <row r="85" spans="1:9" ht="33" customHeight="1">
      <c r="A85" s="56"/>
      <c r="B85" s="72" t="s">
        <v>817</v>
      </c>
      <c r="C85" s="59"/>
      <c r="D85" s="54">
        <f t="shared" si="5"/>
        <v>4000</v>
      </c>
      <c r="E85" s="54"/>
      <c r="F85" s="54">
        <v>8000</v>
      </c>
      <c r="G85" s="54"/>
      <c r="H85" s="52">
        <f>'4.pielikums'!B340</f>
        <v>12000</v>
      </c>
      <c r="I85" s="75"/>
    </row>
    <row r="86" spans="1:9" ht="59.45" customHeight="1">
      <c r="A86" s="60"/>
      <c r="B86" s="104" t="s">
        <v>254</v>
      </c>
      <c r="C86" s="58"/>
      <c r="D86" s="54">
        <f t="shared" si="5"/>
        <v>0</v>
      </c>
      <c r="E86" s="54"/>
      <c r="F86" s="54">
        <v>46467</v>
      </c>
      <c r="G86" s="54">
        <v>140952</v>
      </c>
      <c r="H86" s="52">
        <f>'4.pielikums'!B81</f>
        <v>187419</v>
      </c>
      <c r="I86" s="75"/>
    </row>
    <row r="87" spans="1:9" ht="23.45" customHeight="1">
      <c r="A87" s="60"/>
      <c r="B87" s="104" t="s">
        <v>869</v>
      </c>
      <c r="C87" s="58"/>
      <c r="D87" s="54"/>
      <c r="E87" s="54"/>
      <c r="F87" s="54">
        <v>40280</v>
      </c>
      <c r="G87" s="54"/>
      <c r="H87" s="52">
        <f>'4.pielikums'!B354</f>
        <v>40280</v>
      </c>
      <c r="I87" s="75"/>
    </row>
    <row r="88" spans="1:9" ht="15" customHeight="1">
      <c r="A88" s="15" t="s">
        <v>282</v>
      </c>
      <c r="B88" s="85" t="s">
        <v>283</v>
      </c>
      <c r="C88" s="63">
        <f t="shared" si="6" ref="C88:G88">SUM(C89:C110)</f>
        <v>28093</v>
      </c>
      <c r="D88" s="63">
        <f t="shared" si="6"/>
        <v>24103</v>
      </c>
      <c r="E88" s="63">
        <f t="shared" si="6"/>
        <v>140128</v>
      </c>
      <c r="F88" s="63">
        <f t="shared" si="6"/>
        <v>0</v>
      </c>
      <c r="G88" s="63">
        <f t="shared" si="6"/>
        <v>0</v>
      </c>
      <c r="H88" s="52">
        <f>SUM(H89:H110)</f>
        <v>192324</v>
      </c>
      <c r="I88" s="75"/>
    </row>
    <row r="89" spans="1:9" ht="30" customHeight="1">
      <c r="A89" s="56"/>
      <c r="B89" s="72" t="s">
        <v>79</v>
      </c>
      <c r="C89" s="59">
        <v>28093</v>
      </c>
      <c r="D89" s="54">
        <f>H89-E89-G89-F89-C89</f>
        <v>0</v>
      </c>
      <c r="E89" s="54">
        <v>38000</v>
      </c>
      <c r="F89" s="54"/>
      <c r="G89" s="54"/>
      <c r="H89" s="52">
        <f>'4.pielikums'!B82</f>
        <v>66093</v>
      </c>
      <c r="I89" s="75"/>
    </row>
    <row r="90" spans="1:9" ht="30" customHeight="1">
      <c r="A90" s="56"/>
      <c r="B90" s="105" t="s">
        <v>335</v>
      </c>
      <c r="C90" s="59"/>
      <c r="D90" s="54">
        <f>H90-E90-G90-F90-C90</f>
        <v>0</v>
      </c>
      <c r="E90" s="92">
        <v>7712</v>
      </c>
      <c r="F90" s="54"/>
      <c r="G90" s="54"/>
      <c r="H90" s="52">
        <f>'4.pielikums'!B83</f>
        <v>7712</v>
      </c>
      <c r="I90" s="75"/>
    </row>
    <row r="91" spans="1:9" s="74" customFormat="1" ht="30" customHeight="1">
      <c r="A91" s="79"/>
      <c r="B91" s="105" t="s">
        <v>726</v>
      </c>
      <c r="C91" s="58"/>
      <c r="D91" s="53">
        <f t="shared" si="5"/>
        <v>0</v>
      </c>
      <c r="E91" s="92">
        <v>2845</v>
      </c>
      <c r="F91" s="53"/>
      <c r="G91" s="53"/>
      <c r="H91" s="127">
        <f>'4.pielikums'!B84</f>
        <v>2845</v>
      </c>
      <c r="I91" s="75"/>
    </row>
    <row r="92" spans="1:9" ht="30" customHeight="1">
      <c r="A92" s="56"/>
      <c r="B92" s="103" t="s">
        <v>256</v>
      </c>
      <c r="C92" s="59"/>
      <c r="D92" s="54">
        <f t="shared" si="5"/>
        <v>62</v>
      </c>
      <c r="E92" s="92">
        <v>4230</v>
      </c>
      <c r="F92" s="54"/>
      <c r="G92" s="54"/>
      <c r="H92" s="52">
        <f>'4.pielikums'!B85</f>
        <v>4292</v>
      </c>
      <c r="I92" s="75"/>
    </row>
    <row r="93" spans="1:9" s="74" customFormat="1" ht="30" customHeight="1">
      <c r="A93" s="79"/>
      <c r="B93" s="105" t="s">
        <v>727</v>
      </c>
      <c r="C93" s="58"/>
      <c r="D93" s="53">
        <f t="shared" si="5"/>
        <v>687</v>
      </c>
      <c r="E93" s="99">
        <v>3572</v>
      </c>
      <c r="F93" s="53"/>
      <c r="G93" s="53"/>
      <c r="H93" s="127">
        <f>'4.pielikums'!B87</f>
        <v>4259</v>
      </c>
      <c r="I93" s="75"/>
    </row>
    <row r="94" spans="1:9" ht="30" customHeight="1">
      <c r="A94" s="56"/>
      <c r="B94" s="103" t="s">
        <v>248</v>
      </c>
      <c r="C94" s="59"/>
      <c r="D94" s="54">
        <f t="shared" si="5"/>
        <v>950</v>
      </c>
      <c r="E94" s="92">
        <v>2718</v>
      </c>
      <c r="F94" s="54"/>
      <c r="G94" s="54"/>
      <c r="H94" s="52">
        <f>'4.pielikums'!B88</f>
        <v>3668</v>
      </c>
      <c r="I94" s="75"/>
    </row>
    <row r="95" spans="1:9" ht="30" customHeight="1">
      <c r="A95" s="56"/>
      <c r="B95" s="103" t="s">
        <v>251</v>
      </c>
      <c r="C95" s="59"/>
      <c r="D95" s="54">
        <f t="shared" si="5"/>
        <v>0</v>
      </c>
      <c r="E95" s="92">
        <v>6752</v>
      </c>
      <c r="F95" s="54"/>
      <c r="G95" s="54"/>
      <c r="H95" s="52">
        <f>'4.pielikums'!B89</f>
        <v>6752</v>
      </c>
      <c r="I95" s="75"/>
    </row>
    <row r="96" spans="1:9" ht="30" customHeight="1">
      <c r="A96" s="56"/>
      <c r="B96" s="103" t="s">
        <v>145</v>
      </c>
      <c r="C96" s="59"/>
      <c r="D96" s="54">
        <f t="shared" si="5"/>
        <v>0</v>
      </c>
      <c r="E96" s="92">
        <v>4700</v>
      </c>
      <c r="F96" s="54"/>
      <c r="G96" s="54"/>
      <c r="H96" s="52">
        <f>'4.pielikums'!B90</f>
        <v>4700</v>
      </c>
      <c r="I96" s="75"/>
    </row>
    <row r="97" spans="1:9" ht="30" customHeight="1">
      <c r="A97" s="56"/>
      <c r="B97" s="71" t="s">
        <v>336</v>
      </c>
      <c r="C97" s="59"/>
      <c r="D97" s="54">
        <f>H97-E97-G97-F97-C97</f>
        <v>0</v>
      </c>
      <c r="E97" s="92">
        <v>8550</v>
      </c>
      <c r="F97" s="54"/>
      <c r="G97" s="54"/>
      <c r="H97" s="52">
        <f>'4.pielikums'!B91</f>
        <v>8550</v>
      </c>
      <c r="I97" s="75"/>
    </row>
    <row r="98" spans="1:9" s="74" customFormat="1" ht="30" customHeight="1">
      <c r="A98" s="79"/>
      <c r="B98" s="71" t="s">
        <v>728</v>
      </c>
      <c r="C98" s="58"/>
      <c r="D98" s="53">
        <f t="shared" si="5"/>
        <v>1732</v>
      </c>
      <c r="E98" s="99">
        <v>1270</v>
      </c>
      <c r="F98" s="53"/>
      <c r="G98" s="53"/>
      <c r="H98" s="127">
        <f>'4.pielikums'!B92</f>
        <v>3002</v>
      </c>
      <c r="I98" s="75"/>
    </row>
    <row r="99" spans="1:9" ht="30" customHeight="1">
      <c r="A99" s="56"/>
      <c r="B99" s="103" t="s">
        <v>142</v>
      </c>
      <c r="C99" s="59"/>
      <c r="D99" s="54">
        <f t="shared" si="5"/>
        <v>3306</v>
      </c>
      <c r="E99" s="99">
        <v>6780</v>
      </c>
      <c r="F99" s="54"/>
      <c r="G99" s="54"/>
      <c r="H99" s="52">
        <f>'4.pielikums'!B93</f>
        <v>10086</v>
      </c>
      <c r="I99" s="75"/>
    </row>
    <row r="100" spans="1:9" ht="30" customHeight="1">
      <c r="A100" s="56"/>
      <c r="B100" s="103" t="s">
        <v>144</v>
      </c>
      <c r="C100" s="59"/>
      <c r="D100" s="54">
        <f t="shared" si="5"/>
        <v>0</v>
      </c>
      <c r="E100" s="92">
        <v>1010</v>
      </c>
      <c r="F100" s="54"/>
      <c r="G100" s="54"/>
      <c r="H100" s="52">
        <f>'4.pielikums'!B94</f>
        <v>1010</v>
      </c>
      <c r="I100" s="75"/>
    </row>
    <row r="101" spans="1:9" ht="30" customHeight="1">
      <c r="A101" s="56"/>
      <c r="B101" s="71" t="s">
        <v>334</v>
      </c>
      <c r="C101" s="58"/>
      <c r="D101" s="54">
        <f t="shared" si="5"/>
        <v>2437</v>
      </c>
      <c r="E101" s="92">
        <v>6273</v>
      </c>
      <c r="F101" s="54"/>
      <c r="G101" s="54"/>
      <c r="H101" s="52">
        <f>'4.pielikums'!B95</f>
        <v>8710</v>
      </c>
      <c r="I101" s="75"/>
    </row>
    <row r="102" spans="1:9" ht="30" customHeight="1">
      <c r="A102" s="56"/>
      <c r="B102" s="103" t="s">
        <v>258</v>
      </c>
      <c r="C102" s="59"/>
      <c r="D102" s="54">
        <f t="shared" si="5"/>
        <v>6370</v>
      </c>
      <c r="E102" s="92">
        <v>4286</v>
      </c>
      <c r="F102" s="54"/>
      <c r="G102" s="54"/>
      <c r="H102" s="52">
        <f>'4.pielikums'!B97</f>
        <v>10656</v>
      </c>
      <c r="I102" s="75"/>
    </row>
    <row r="103" spans="1:9" ht="30" customHeight="1">
      <c r="A103" s="56"/>
      <c r="B103" s="103" t="s">
        <v>143</v>
      </c>
      <c r="C103" s="59"/>
      <c r="D103" s="54">
        <f t="shared" si="5"/>
        <v>0</v>
      </c>
      <c r="E103" s="92">
        <v>720</v>
      </c>
      <c r="F103" s="54"/>
      <c r="G103" s="54"/>
      <c r="H103" s="52">
        <f>'4.pielikums'!B98</f>
        <v>720</v>
      </c>
      <c r="I103" s="75"/>
    </row>
    <row r="104" spans="1:9" ht="30" customHeight="1">
      <c r="A104" s="56"/>
      <c r="B104" s="103" t="s">
        <v>146</v>
      </c>
      <c r="C104" s="59"/>
      <c r="D104" s="54">
        <f t="shared" si="5"/>
        <v>1508</v>
      </c>
      <c r="E104" s="92">
        <v>2000</v>
      </c>
      <c r="F104" s="54"/>
      <c r="G104" s="54"/>
      <c r="H104" s="52">
        <f>'4.pielikums'!B99</f>
        <v>3508</v>
      </c>
      <c r="I104" s="75"/>
    </row>
    <row r="105" spans="1:9" ht="30" customHeight="1">
      <c r="A105" s="56"/>
      <c r="B105" s="103" t="s">
        <v>217</v>
      </c>
      <c r="C105" s="59"/>
      <c r="D105" s="54">
        <f t="shared" si="5"/>
        <v>719</v>
      </c>
      <c r="E105" s="92">
        <f>17550</f>
        <v>17550</v>
      </c>
      <c r="F105" s="54"/>
      <c r="G105" s="54"/>
      <c r="H105" s="52">
        <f>'4.pielikums'!B100</f>
        <v>18269</v>
      </c>
      <c r="I105" s="75"/>
    </row>
    <row r="106" spans="1:9" s="74" customFormat="1" ht="30" customHeight="1">
      <c r="A106" s="79"/>
      <c r="B106" s="103" t="s">
        <v>729</v>
      </c>
      <c r="C106" s="58"/>
      <c r="D106" s="53">
        <f t="shared" si="5"/>
        <v>0</v>
      </c>
      <c r="E106" s="99">
        <v>6665</v>
      </c>
      <c r="F106" s="53"/>
      <c r="G106" s="53"/>
      <c r="H106" s="127">
        <f>'4.pielikums'!B101</f>
        <v>6665</v>
      </c>
      <c r="I106" s="75"/>
    </row>
    <row r="107" spans="1:9" ht="30" customHeight="1">
      <c r="A107" s="56"/>
      <c r="B107" s="103" t="s">
        <v>147</v>
      </c>
      <c r="C107" s="59"/>
      <c r="D107" s="54">
        <f t="shared" si="5"/>
        <v>376</v>
      </c>
      <c r="E107" s="92">
        <v>7985</v>
      </c>
      <c r="F107" s="54"/>
      <c r="G107" s="54"/>
      <c r="H107" s="52">
        <f>'4.pielikums'!B102</f>
        <v>8361</v>
      </c>
      <c r="I107" s="75"/>
    </row>
    <row r="108" spans="1:9" ht="30" customHeight="1">
      <c r="A108" s="56"/>
      <c r="B108" s="103" t="s">
        <v>141</v>
      </c>
      <c r="C108" s="59"/>
      <c r="D108" s="54">
        <f t="shared" si="5"/>
        <v>0</v>
      </c>
      <c r="E108" s="92">
        <f>3510</f>
        <v>3510</v>
      </c>
      <c r="F108" s="54"/>
      <c r="G108" s="54"/>
      <c r="H108" s="52">
        <f>'4.pielikums'!B103</f>
        <v>3510</v>
      </c>
      <c r="I108" s="75"/>
    </row>
    <row r="109" spans="1:9" ht="51.6" customHeight="1">
      <c r="A109" s="56"/>
      <c r="B109" s="103" t="s">
        <v>747</v>
      </c>
      <c r="C109" s="59"/>
      <c r="D109" s="54">
        <f t="shared" si="5"/>
        <v>5956</v>
      </c>
      <c r="E109" s="92"/>
      <c r="F109" s="54"/>
      <c r="G109" s="54"/>
      <c r="H109" s="52">
        <f>'4.pielikums'!B338</f>
        <v>5956</v>
      </c>
      <c r="I109" s="75"/>
    </row>
    <row r="110" spans="1:9" ht="51.6" customHeight="1">
      <c r="A110" s="56"/>
      <c r="B110" s="103" t="s">
        <v>753</v>
      </c>
      <c r="C110" s="59"/>
      <c r="D110" s="54">
        <f t="shared" si="5"/>
        <v>0</v>
      </c>
      <c r="E110" s="54">
        <v>3000</v>
      </c>
      <c r="F110" s="54"/>
      <c r="G110" s="54"/>
      <c r="H110" s="52">
        <f>'4.pielikums'!B335</f>
        <v>3000</v>
      </c>
      <c r="I110" s="75"/>
    </row>
    <row r="111" spans="1:9" ht="30" customHeight="1">
      <c r="A111" s="67" t="s">
        <v>284</v>
      </c>
      <c r="B111" s="85" t="s">
        <v>285</v>
      </c>
      <c r="C111" s="63">
        <f t="shared" si="7" ref="C111:G111">C112+C114</f>
        <v>115000</v>
      </c>
      <c r="D111" s="63">
        <f t="shared" si="7"/>
        <v>2514631</v>
      </c>
      <c r="E111" s="63">
        <f t="shared" si="7"/>
        <v>2159895</v>
      </c>
      <c r="F111" s="63">
        <f t="shared" si="7"/>
        <v>5846</v>
      </c>
      <c r="G111" s="63">
        <f t="shared" si="7"/>
        <v>380947</v>
      </c>
      <c r="H111" s="52">
        <f>H112+H114</f>
        <v>5177397</v>
      </c>
      <c r="I111" s="75"/>
    </row>
    <row r="112" spans="1:9" ht="15" customHeight="1">
      <c r="A112" s="65"/>
      <c r="B112" s="83" t="s">
        <v>286</v>
      </c>
      <c r="C112" s="63">
        <f t="shared" si="8" ref="C112:G112">SUM(C113:C113)</f>
        <v>0</v>
      </c>
      <c r="D112" s="63">
        <f t="shared" si="8"/>
        <v>116173</v>
      </c>
      <c r="E112" s="63">
        <f t="shared" si="8"/>
        <v>3669</v>
      </c>
      <c r="F112" s="63">
        <f t="shared" si="8"/>
        <v>0</v>
      </c>
      <c r="G112" s="63">
        <f t="shared" si="8"/>
        <v>0</v>
      </c>
      <c r="H112" s="52">
        <f>SUM(H113:H113)</f>
        <v>119842</v>
      </c>
      <c r="I112" s="75"/>
    </row>
    <row r="113" spans="1:9" ht="15" customHeight="1">
      <c r="A113" s="15"/>
      <c r="B113" s="95" t="s">
        <v>19</v>
      </c>
      <c r="C113" s="64"/>
      <c r="D113" s="54">
        <f t="shared" si="9" ref="D113:D183">H113-E113-G113-F113-C113</f>
        <v>116173</v>
      </c>
      <c r="E113" s="92">
        <v>3669</v>
      </c>
      <c r="F113" s="54"/>
      <c r="G113" s="54"/>
      <c r="H113" s="52">
        <f>'4.pielikums'!B104</f>
        <v>119842</v>
      </c>
      <c r="I113" s="75"/>
    </row>
    <row r="114" spans="1:9" ht="31.5">
      <c r="A114" s="56"/>
      <c r="B114" s="85" t="s">
        <v>287</v>
      </c>
      <c r="C114" s="63">
        <f t="shared" si="10" ref="C114:G114">SUM(C115:C179)</f>
        <v>115000</v>
      </c>
      <c r="D114" s="63">
        <f t="shared" si="10"/>
        <v>2398458</v>
      </c>
      <c r="E114" s="63">
        <f t="shared" si="10"/>
        <v>2156226</v>
      </c>
      <c r="F114" s="63">
        <f t="shared" si="10"/>
        <v>5846</v>
      </c>
      <c r="G114" s="63">
        <f t="shared" si="10"/>
        <v>380947</v>
      </c>
      <c r="H114" s="52">
        <f>SUM(H115:H180)</f>
        <v>5057555</v>
      </c>
      <c r="I114" s="75"/>
    </row>
    <row r="115" spans="1:9" s="74" customFormat="1" ht="15" customHeight="1">
      <c r="A115" s="82"/>
      <c r="B115" s="72" t="s">
        <v>190</v>
      </c>
      <c r="C115" s="58"/>
      <c r="D115" s="53">
        <f t="shared" si="9"/>
        <v>74682</v>
      </c>
      <c r="E115" s="53">
        <v>21000</v>
      </c>
      <c r="F115" s="53"/>
      <c r="G115" s="53"/>
      <c r="H115" s="127">
        <f>'4.pielikums'!B105</f>
        <v>95682</v>
      </c>
      <c r="I115" s="75"/>
    </row>
    <row r="116" spans="1:9" s="74" customFormat="1" ht="15" customHeight="1">
      <c r="A116" s="82"/>
      <c r="B116" s="72" t="s">
        <v>194</v>
      </c>
      <c r="C116" s="58"/>
      <c r="D116" s="53">
        <f>H116-E116-G116-F116-C116</f>
        <v>58549</v>
      </c>
      <c r="E116" s="53"/>
      <c r="F116" s="53"/>
      <c r="G116" s="53"/>
      <c r="H116" s="127">
        <f>'4.pielikums'!B106</f>
        <v>58549</v>
      </c>
      <c r="I116" s="75"/>
    </row>
    <row r="117" spans="1:9" s="74" customFormat="1" ht="17.25" customHeight="1">
      <c r="A117" s="82"/>
      <c r="B117" s="72" t="s">
        <v>752</v>
      </c>
      <c r="C117" s="58"/>
      <c r="D117" s="53">
        <f>H117-E117-G117-F117-C117</f>
        <v>368209</v>
      </c>
      <c r="E117" s="53"/>
      <c r="F117" s="53"/>
      <c r="G117" s="53"/>
      <c r="H117" s="127">
        <f>'4.pielikums'!B131</f>
        <v>368209</v>
      </c>
      <c r="I117" s="75"/>
    </row>
    <row r="118" spans="1:9" ht="15" customHeight="1">
      <c r="A118" s="56"/>
      <c r="B118" s="95" t="s">
        <v>289</v>
      </c>
      <c r="C118" s="64">
        <v>115000</v>
      </c>
      <c r="D118" s="54">
        <f t="shared" si="9"/>
        <v>0</v>
      </c>
      <c r="E118" s="54">
        <f>231618+282536+217219+908592+9380</f>
        <v>1649345</v>
      </c>
      <c r="F118" s="54"/>
      <c r="G118" s="54"/>
      <c r="H118" s="52">
        <f>'4.pielikums'!B125</f>
        <v>1764345</v>
      </c>
      <c r="I118" s="75"/>
    </row>
    <row r="119" spans="1:9" ht="21.75" customHeight="1">
      <c r="A119" s="60"/>
      <c r="B119" s="94" t="s">
        <v>20</v>
      </c>
      <c r="C119" s="59"/>
      <c r="D119" s="54">
        <f>H119-E119-G119-F119-C119</f>
        <v>29040</v>
      </c>
      <c r="E119" s="92">
        <v>510</v>
      </c>
      <c r="F119" s="54"/>
      <c r="G119" s="54"/>
      <c r="H119" s="52">
        <f>'4.pielikums'!B107</f>
        <v>29550</v>
      </c>
      <c r="I119" s="75"/>
    </row>
    <row r="120" spans="1:9" ht="30" customHeight="1">
      <c r="A120" s="56"/>
      <c r="B120" s="94" t="s">
        <v>288</v>
      </c>
      <c r="C120" s="59"/>
      <c r="D120" s="54">
        <f t="shared" si="9"/>
        <v>73044</v>
      </c>
      <c r="E120" s="92">
        <f>2280</f>
        <v>2280</v>
      </c>
      <c r="F120" s="54"/>
      <c r="G120" s="54"/>
      <c r="H120" s="52">
        <f>'4.pielikums'!B108</f>
        <v>75324</v>
      </c>
      <c r="I120" s="75"/>
    </row>
    <row r="121" spans="1:9" ht="28.15" customHeight="1">
      <c r="A121" s="56"/>
      <c r="B121" s="94" t="s">
        <v>21</v>
      </c>
      <c r="C121" s="59"/>
      <c r="D121" s="54">
        <f>H121-E121-G121-F121-C121</f>
        <v>28970</v>
      </c>
      <c r="E121" s="99">
        <v>170</v>
      </c>
      <c r="F121" s="54"/>
      <c r="G121" s="54"/>
      <c r="H121" s="52">
        <f>'4.pielikums'!B109</f>
        <v>29140</v>
      </c>
      <c r="I121" s="75"/>
    </row>
    <row r="122" spans="1:9" ht="30" customHeight="1">
      <c r="A122" s="56"/>
      <c r="B122" s="94" t="s">
        <v>22</v>
      </c>
      <c r="C122" s="59"/>
      <c r="D122" s="54">
        <f t="shared" si="9"/>
        <v>60017</v>
      </c>
      <c r="E122" s="92">
        <v>1838</v>
      </c>
      <c r="F122" s="54"/>
      <c r="G122" s="54"/>
      <c r="H122" s="52">
        <f>'4.pielikums'!B111</f>
        <v>61855</v>
      </c>
      <c r="I122" s="75"/>
    </row>
    <row r="123" spans="1:9" ht="32.45" customHeight="1">
      <c r="A123" s="56"/>
      <c r="B123" s="94" t="s">
        <v>23</v>
      </c>
      <c r="C123" s="59"/>
      <c r="D123" s="54">
        <f t="shared" si="9"/>
        <v>25350</v>
      </c>
      <c r="E123" s="92">
        <f>2491+2191</f>
        <v>4682</v>
      </c>
      <c r="F123" s="54"/>
      <c r="G123" s="54"/>
      <c r="H123" s="52">
        <f>'4.pielikums'!B112</f>
        <v>30032</v>
      </c>
      <c r="I123" s="75"/>
    </row>
    <row r="124" spans="1:9" ht="29.45" customHeight="1">
      <c r="A124" s="56"/>
      <c r="B124" s="94" t="s">
        <v>24</v>
      </c>
      <c r="C124" s="59"/>
      <c r="D124" s="54">
        <f t="shared" si="9"/>
        <v>74171</v>
      </c>
      <c r="E124" s="92">
        <v>225</v>
      </c>
      <c r="F124" s="54"/>
      <c r="G124" s="54"/>
      <c r="H124" s="52">
        <f>'4.pielikums'!B113</f>
        <v>74396</v>
      </c>
      <c r="I124" s="75"/>
    </row>
    <row r="125" spans="1:9" ht="30" customHeight="1">
      <c r="A125" s="56"/>
      <c r="B125" s="106" t="s">
        <v>337</v>
      </c>
      <c r="C125" s="59"/>
      <c r="D125" s="54">
        <f t="shared" si="9"/>
        <v>34907</v>
      </c>
      <c r="E125" s="92">
        <v>59525</v>
      </c>
      <c r="F125" s="54"/>
      <c r="G125" s="54"/>
      <c r="H125" s="52">
        <f>'4.pielikums'!B114</f>
        <v>94432</v>
      </c>
      <c r="I125" s="75"/>
    </row>
    <row r="126" spans="1:9" ht="30" customHeight="1">
      <c r="A126" s="56"/>
      <c r="B126" s="107" t="s">
        <v>149</v>
      </c>
      <c r="C126" s="59"/>
      <c r="D126" s="54">
        <f>H126-E126-G126-F126-C126</f>
        <v>83769</v>
      </c>
      <c r="E126" s="92">
        <v>3590</v>
      </c>
      <c r="F126" s="54"/>
      <c r="G126" s="54"/>
      <c r="H126" s="52">
        <f>'4.pielikums'!B115</f>
        <v>87359</v>
      </c>
      <c r="I126" s="75"/>
    </row>
    <row r="127" spans="1:9" ht="30" customHeight="1">
      <c r="A127" s="56"/>
      <c r="B127" s="94" t="s">
        <v>25</v>
      </c>
      <c r="C127" s="59"/>
      <c r="D127" s="54">
        <f t="shared" si="9"/>
        <v>54015</v>
      </c>
      <c r="E127" s="92">
        <v>3145</v>
      </c>
      <c r="F127" s="54"/>
      <c r="G127" s="54"/>
      <c r="H127" s="52">
        <f>'4.pielikums'!B117</f>
        <v>57160</v>
      </c>
      <c r="I127" s="75"/>
    </row>
    <row r="128" spans="1:9" ht="30" customHeight="1">
      <c r="A128" s="56"/>
      <c r="B128" s="106" t="s">
        <v>338</v>
      </c>
      <c r="C128" s="59"/>
      <c r="D128" s="54">
        <f t="shared" si="9"/>
        <v>10119</v>
      </c>
      <c r="E128" s="92"/>
      <c r="F128" s="54"/>
      <c r="G128" s="54"/>
      <c r="H128" s="52">
        <f>'4.pielikums'!B118</f>
        <v>10119</v>
      </c>
      <c r="I128" s="75"/>
    </row>
    <row r="129" spans="1:9" ht="15" customHeight="1">
      <c r="A129" s="56"/>
      <c r="B129" s="107" t="s">
        <v>150</v>
      </c>
      <c r="C129" s="59"/>
      <c r="D129" s="54">
        <f t="shared" si="9"/>
        <v>155416</v>
      </c>
      <c r="E129" s="92">
        <v>3341</v>
      </c>
      <c r="F129" s="54"/>
      <c r="G129" s="54"/>
      <c r="H129" s="52">
        <f>'4.pielikums'!B119</f>
        <v>158757</v>
      </c>
      <c r="I129" s="75"/>
    </row>
    <row r="130" spans="1:9" ht="34.15" customHeight="1">
      <c r="A130" s="56"/>
      <c r="B130" s="106" t="s">
        <v>339</v>
      </c>
      <c r="C130" s="59"/>
      <c r="D130" s="54">
        <f t="shared" si="9"/>
        <v>3815</v>
      </c>
      <c r="E130" s="92">
        <v>3530</v>
      </c>
      <c r="F130" s="54"/>
      <c r="G130" s="54"/>
      <c r="H130" s="52">
        <f>'4.pielikums'!B120</f>
        <v>7345</v>
      </c>
      <c r="I130" s="75"/>
    </row>
    <row r="131" spans="1:9" ht="29.45" customHeight="1">
      <c r="A131" s="56"/>
      <c r="B131" s="94" t="s">
        <v>26</v>
      </c>
      <c r="C131" s="59"/>
      <c r="D131" s="54">
        <f t="shared" si="9"/>
        <v>103536</v>
      </c>
      <c r="E131" s="92">
        <v>14016</v>
      </c>
      <c r="F131" s="54"/>
      <c r="G131" s="54"/>
      <c r="H131" s="52">
        <f>'4.pielikums'!B121</f>
        <v>117552</v>
      </c>
      <c r="I131" s="75"/>
    </row>
    <row r="132" spans="1:9" s="74" customFormat="1" ht="30" customHeight="1">
      <c r="A132" s="79"/>
      <c r="B132" s="94" t="s">
        <v>27</v>
      </c>
      <c r="C132" s="58"/>
      <c r="D132" s="53">
        <f t="shared" si="9"/>
        <v>45339</v>
      </c>
      <c r="E132" s="99"/>
      <c r="F132" s="53"/>
      <c r="G132" s="53"/>
      <c r="H132" s="127">
        <f>'4.pielikums'!B122</f>
        <v>45339</v>
      </c>
      <c r="I132" s="75"/>
    </row>
    <row r="133" spans="1:9" ht="33.6" customHeight="1">
      <c r="A133" s="56"/>
      <c r="B133" s="106" t="s">
        <v>199</v>
      </c>
      <c r="C133" s="59"/>
      <c r="D133" s="54">
        <f t="shared" si="9"/>
        <v>41260</v>
      </c>
      <c r="E133" s="92">
        <v>1400</v>
      </c>
      <c r="F133" s="54"/>
      <c r="G133" s="54"/>
      <c r="H133" s="52">
        <f>'4.pielikums'!B123</f>
        <v>42660</v>
      </c>
      <c r="I133" s="75"/>
    </row>
    <row r="134" spans="1:9" ht="31.9" customHeight="1">
      <c r="A134" s="56"/>
      <c r="B134" s="94" t="s">
        <v>28</v>
      </c>
      <c r="C134" s="59"/>
      <c r="D134" s="54">
        <f t="shared" si="9"/>
        <v>102295</v>
      </c>
      <c r="E134" s="92">
        <v>586</v>
      </c>
      <c r="F134" s="54"/>
      <c r="G134" s="54"/>
      <c r="H134" s="52">
        <f>'4.pielikums'!B124</f>
        <v>102881</v>
      </c>
      <c r="I134" s="75"/>
    </row>
    <row r="135" spans="1:9" ht="30" customHeight="1">
      <c r="A135" s="56"/>
      <c r="B135" s="106" t="s">
        <v>183</v>
      </c>
      <c r="C135" s="59"/>
      <c r="D135" s="54">
        <f>H135-E135-G135-F135-C135</f>
        <v>65807</v>
      </c>
      <c r="E135" s="92">
        <v>17000</v>
      </c>
      <c r="F135" s="54"/>
      <c r="G135" s="54"/>
      <c r="H135" s="52">
        <f>'4.pielikums'!B126</f>
        <v>82807</v>
      </c>
      <c r="I135" s="75"/>
    </row>
    <row r="136" spans="1:9" ht="30" customHeight="1">
      <c r="A136" s="56"/>
      <c r="B136" s="106" t="s">
        <v>121</v>
      </c>
      <c r="C136" s="59"/>
      <c r="D136" s="54">
        <f t="shared" si="9"/>
        <v>0</v>
      </c>
      <c r="E136" s="92">
        <v>7500</v>
      </c>
      <c r="F136" s="54"/>
      <c r="G136" s="54"/>
      <c r="H136" s="52">
        <f>'4.pielikums'!B127</f>
        <v>7500</v>
      </c>
      <c r="I136" s="75"/>
    </row>
    <row r="137" spans="1:9" ht="30" customHeight="1">
      <c r="A137" s="56"/>
      <c r="B137" s="106" t="s">
        <v>127</v>
      </c>
      <c r="C137" s="59"/>
      <c r="D137" s="54">
        <f t="shared" si="9"/>
        <v>0</v>
      </c>
      <c r="E137" s="92">
        <v>1000</v>
      </c>
      <c r="F137" s="54"/>
      <c r="G137" s="54"/>
      <c r="H137" s="52">
        <f>'4.pielikums'!B128</f>
        <v>1000</v>
      </c>
      <c r="I137" s="75"/>
    </row>
    <row r="138" spans="1:9" ht="30" customHeight="1">
      <c r="A138" s="56"/>
      <c r="B138" s="106" t="s">
        <v>122</v>
      </c>
      <c r="C138" s="59"/>
      <c r="D138" s="54">
        <f t="shared" si="9"/>
        <v>0</v>
      </c>
      <c r="E138" s="92">
        <f>2100+7727</f>
        <v>9827</v>
      </c>
      <c r="F138" s="54"/>
      <c r="G138" s="54"/>
      <c r="H138" s="52">
        <f>'4.pielikums'!B129</f>
        <v>9827</v>
      </c>
      <c r="I138" s="75"/>
    </row>
    <row r="139" spans="1:9" ht="30" customHeight="1">
      <c r="A139" s="56"/>
      <c r="B139" s="103" t="s">
        <v>124</v>
      </c>
      <c r="C139" s="59"/>
      <c r="D139" s="54">
        <f t="shared" si="9"/>
        <v>0</v>
      </c>
      <c r="E139" s="92">
        <v>3200</v>
      </c>
      <c r="F139" s="54"/>
      <c r="G139" s="54"/>
      <c r="H139" s="52">
        <f>'4.pielikums'!B130</f>
        <v>3200</v>
      </c>
      <c r="I139" s="75"/>
    </row>
    <row r="140" spans="1:9" ht="30" customHeight="1">
      <c r="A140" s="56"/>
      <c r="B140" s="72" t="s">
        <v>738</v>
      </c>
      <c r="C140" s="59"/>
      <c r="D140" s="54">
        <f t="shared" si="9"/>
        <v>118153</v>
      </c>
      <c r="E140" s="92"/>
      <c r="F140" s="54"/>
      <c r="G140" s="54"/>
      <c r="H140" s="52">
        <f>'4.pielikums'!B133</f>
        <v>118153</v>
      </c>
      <c r="I140" s="75"/>
    </row>
    <row r="141" spans="1:9" ht="30" customHeight="1">
      <c r="A141" s="56"/>
      <c r="B141" s="103" t="s">
        <v>107</v>
      </c>
      <c r="C141" s="59"/>
      <c r="D141" s="54">
        <f t="shared" si="9"/>
        <v>16115</v>
      </c>
      <c r="E141" s="92"/>
      <c r="F141" s="54"/>
      <c r="G141" s="54"/>
      <c r="H141" s="52">
        <f>'4.pielikums'!B134</f>
        <v>16115</v>
      </c>
      <c r="I141" s="75"/>
    </row>
    <row r="142" spans="1:9" ht="30" customHeight="1">
      <c r="A142" s="56"/>
      <c r="B142" s="103" t="s">
        <v>102</v>
      </c>
      <c r="C142" s="59"/>
      <c r="D142" s="54">
        <f t="shared" si="9"/>
        <v>16093</v>
      </c>
      <c r="E142" s="92"/>
      <c r="F142" s="54"/>
      <c r="G142" s="54"/>
      <c r="H142" s="52">
        <f>'4.pielikums'!B135</f>
        <v>16093</v>
      </c>
      <c r="I142" s="75"/>
    </row>
    <row r="143" spans="1:9" ht="30" customHeight="1">
      <c r="A143" s="56"/>
      <c r="B143" s="103" t="s">
        <v>109</v>
      </c>
      <c r="C143" s="59"/>
      <c r="D143" s="54">
        <f t="shared" si="9"/>
        <v>17528</v>
      </c>
      <c r="E143" s="92">
        <v>255</v>
      </c>
      <c r="F143" s="54"/>
      <c r="G143" s="54"/>
      <c r="H143" s="52">
        <f>'4.pielikums'!B136</f>
        <v>17783</v>
      </c>
      <c r="I143" s="75"/>
    </row>
    <row r="144" spans="1:9" ht="30" customHeight="1">
      <c r="A144" s="56"/>
      <c r="B144" s="103" t="s">
        <v>340</v>
      </c>
      <c r="C144" s="59"/>
      <c r="D144" s="54">
        <f t="shared" si="9"/>
        <v>19011</v>
      </c>
      <c r="E144" s="54"/>
      <c r="F144" s="54"/>
      <c r="G144" s="54"/>
      <c r="H144" s="52">
        <f>'4.pielikums'!B137</f>
        <v>19011</v>
      </c>
      <c r="I144" s="75"/>
    </row>
    <row r="145" spans="1:9" ht="30" customHeight="1">
      <c r="A145" s="56"/>
      <c r="B145" s="103" t="s">
        <v>119</v>
      </c>
      <c r="C145" s="59"/>
      <c r="D145" s="54">
        <f t="shared" si="11" ref="D145">H145-E145-G145-F145-C145</f>
        <v>24027</v>
      </c>
      <c r="E145" s="54"/>
      <c r="F145" s="54"/>
      <c r="G145" s="54"/>
      <c r="H145" s="52">
        <f>'4.pielikums'!B138</f>
        <v>24027</v>
      </c>
      <c r="I145" s="75"/>
    </row>
    <row r="146" spans="1:9" ht="15" customHeight="1">
      <c r="A146" s="56"/>
      <c r="B146" s="103" t="s">
        <v>125</v>
      </c>
      <c r="C146" s="59"/>
      <c r="D146" s="54">
        <f t="shared" si="9"/>
        <v>205018</v>
      </c>
      <c r="E146" s="92">
        <f>900+1400</f>
        <v>2300</v>
      </c>
      <c r="F146" s="54"/>
      <c r="G146" s="54"/>
      <c r="H146" s="52">
        <f>'4.pielikums'!B139</f>
        <v>207318</v>
      </c>
      <c r="I146" s="75"/>
    </row>
    <row r="147" spans="1:9" ht="30" customHeight="1">
      <c r="A147" s="56"/>
      <c r="B147" s="103" t="s">
        <v>250</v>
      </c>
      <c r="C147" s="59"/>
      <c r="D147" s="54">
        <f t="shared" si="9"/>
        <v>45890</v>
      </c>
      <c r="E147" s="92">
        <v>21857</v>
      </c>
      <c r="F147" s="54"/>
      <c r="G147" s="54"/>
      <c r="H147" s="52">
        <f>'4.pielikums'!B141</f>
        <v>67747</v>
      </c>
      <c r="I147" s="75"/>
    </row>
    <row r="148" spans="1:9" ht="30" customHeight="1">
      <c r="A148" s="56"/>
      <c r="B148" s="103" t="s">
        <v>114</v>
      </c>
      <c r="C148" s="59"/>
      <c r="D148" s="54">
        <f t="shared" si="9"/>
        <v>77511</v>
      </c>
      <c r="E148" s="92">
        <v>35161</v>
      </c>
      <c r="F148" s="54"/>
      <c r="G148" s="54"/>
      <c r="H148" s="52">
        <f>'4.pielikums'!B142</f>
        <v>112672</v>
      </c>
      <c r="I148" s="75"/>
    </row>
    <row r="149" spans="1:9" ht="30" customHeight="1">
      <c r="A149" s="56"/>
      <c r="B149" s="103" t="s">
        <v>341</v>
      </c>
      <c r="C149" s="59"/>
      <c r="D149" s="54">
        <f t="shared" si="9"/>
        <v>32104</v>
      </c>
      <c r="E149" s="92">
        <v>13500</v>
      </c>
      <c r="F149" s="54"/>
      <c r="G149" s="54"/>
      <c r="H149" s="52">
        <f>'4.pielikums'!B144</f>
        <v>45604</v>
      </c>
      <c r="I149" s="75"/>
    </row>
    <row r="150" spans="1:9" ht="15" customHeight="1">
      <c r="A150" s="56"/>
      <c r="B150" s="103" t="s">
        <v>259</v>
      </c>
      <c r="C150" s="59"/>
      <c r="D150" s="54">
        <f t="shared" si="9"/>
        <v>29697</v>
      </c>
      <c r="E150" s="92">
        <v>28967</v>
      </c>
      <c r="F150" s="54"/>
      <c r="G150" s="54"/>
      <c r="H150" s="52">
        <f>'4.pielikums'!B145</f>
        <v>58664</v>
      </c>
      <c r="I150" s="75"/>
    </row>
    <row r="151" spans="1:9" ht="30" customHeight="1">
      <c r="A151" s="56"/>
      <c r="B151" s="103" t="s">
        <v>116</v>
      </c>
      <c r="C151" s="59"/>
      <c r="D151" s="54">
        <f t="shared" si="9"/>
        <v>22471</v>
      </c>
      <c r="E151" s="92">
        <v>9000</v>
      </c>
      <c r="F151" s="54"/>
      <c r="G151" s="54"/>
      <c r="H151" s="52">
        <f>'4.pielikums'!B146</f>
        <v>31471</v>
      </c>
      <c r="I151" s="75"/>
    </row>
    <row r="152" spans="1:9" ht="30" customHeight="1">
      <c r="A152" s="56"/>
      <c r="B152" s="103" t="s">
        <v>104</v>
      </c>
      <c r="C152" s="59"/>
      <c r="D152" s="54">
        <f t="shared" si="9"/>
        <v>15365</v>
      </c>
      <c r="E152" s="92">
        <v>69000</v>
      </c>
      <c r="F152" s="54"/>
      <c r="G152" s="54"/>
      <c r="H152" s="52">
        <f>'4.pielikums'!B147</f>
        <v>84365</v>
      </c>
      <c r="I152" s="75"/>
    </row>
    <row r="153" spans="1:9" ht="15" customHeight="1">
      <c r="A153" s="56"/>
      <c r="B153" s="103" t="s">
        <v>106</v>
      </c>
      <c r="C153" s="59"/>
      <c r="D153" s="54">
        <f t="shared" si="9"/>
        <v>44530</v>
      </c>
      <c r="E153" s="92">
        <f>59000</f>
        <v>59000</v>
      </c>
      <c r="F153" s="54"/>
      <c r="G153" s="54"/>
      <c r="H153" s="52">
        <f>'4.pielikums'!B148</f>
        <v>103530</v>
      </c>
      <c r="I153" s="75"/>
    </row>
    <row r="154" spans="1:9" ht="15" customHeight="1">
      <c r="A154" s="56"/>
      <c r="B154" s="105" t="s">
        <v>205</v>
      </c>
      <c r="C154" s="59"/>
      <c r="D154" s="54">
        <f t="shared" si="9"/>
        <v>0</v>
      </c>
      <c r="E154" s="92">
        <v>2840</v>
      </c>
      <c r="F154" s="54"/>
      <c r="G154" s="54"/>
      <c r="H154" s="52">
        <f>'4.pielikums'!B149</f>
        <v>2840</v>
      </c>
      <c r="I154" s="75"/>
    </row>
    <row r="155" spans="1:9" ht="15" customHeight="1">
      <c r="A155" s="56"/>
      <c r="B155" s="105" t="s">
        <v>204</v>
      </c>
      <c r="C155" s="59"/>
      <c r="D155" s="54">
        <f t="shared" si="9"/>
        <v>5778</v>
      </c>
      <c r="E155" s="92">
        <v>11605</v>
      </c>
      <c r="F155" s="54"/>
      <c r="G155" s="54"/>
      <c r="H155" s="52">
        <f>'4.pielikums'!B150</f>
        <v>17383</v>
      </c>
      <c r="I155" s="75"/>
    </row>
    <row r="156" spans="1:9" s="74" customFormat="1" ht="30" customHeight="1">
      <c r="A156" s="79"/>
      <c r="B156" s="103" t="s">
        <v>723</v>
      </c>
      <c r="C156" s="58"/>
      <c r="D156" s="53">
        <f t="shared" si="9"/>
        <v>1794</v>
      </c>
      <c r="E156" s="99">
        <v>2500</v>
      </c>
      <c r="F156" s="53"/>
      <c r="G156" s="53"/>
      <c r="H156" s="127">
        <f>'4.pielikums'!B151</f>
        <v>4294</v>
      </c>
      <c r="I156" s="75"/>
    </row>
    <row r="157" spans="1:9" ht="15" customHeight="1">
      <c r="A157" s="56"/>
      <c r="B157" s="103" t="s">
        <v>257</v>
      </c>
      <c r="C157" s="59"/>
      <c r="D157" s="54">
        <f>H157-E157-G157-F157-C157</f>
        <v>894</v>
      </c>
      <c r="E157" s="92">
        <v>4268</v>
      </c>
      <c r="F157" s="54"/>
      <c r="G157" s="54"/>
      <c r="H157" s="52">
        <f>'4.pielikums'!B152</f>
        <v>5162</v>
      </c>
      <c r="I157" s="75"/>
    </row>
    <row r="158" spans="1:9" s="74" customFormat="1" ht="30" customHeight="1">
      <c r="A158" s="79"/>
      <c r="B158" s="103" t="s">
        <v>724</v>
      </c>
      <c r="C158" s="58"/>
      <c r="D158" s="53">
        <f>H158-E158-G158-F158-C158</f>
        <v>745</v>
      </c>
      <c r="E158" s="99">
        <v>2391</v>
      </c>
      <c r="F158" s="53"/>
      <c r="G158" s="53"/>
      <c r="H158" s="127">
        <f>'4.pielikums'!B154</f>
        <v>3136</v>
      </c>
      <c r="I158" s="75"/>
    </row>
    <row r="159" spans="1:9" ht="15" customHeight="1">
      <c r="A159" s="56"/>
      <c r="B159" s="108" t="s">
        <v>249</v>
      </c>
      <c r="C159" s="59"/>
      <c r="D159" s="54">
        <f t="shared" si="9"/>
        <v>1585</v>
      </c>
      <c r="E159" s="92">
        <v>4516</v>
      </c>
      <c r="F159" s="54"/>
      <c r="G159" s="54"/>
      <c r="H159" s="52">
        <f>'4.pielikums'!B155</f>
        <v>6101</v>
      </c>
      <c r="I159" s="75"/>
    </row>
    <row r="160" spans="1:9" ht="15" customHeight="1">
      <c r="A160" s="56"/>
      <c r="B160" s="103" t="s">
        <v>252</v>
      </c>
      <c r="C160" s="59"/>
      <c r="D160" s="54">
        <f t="shared" si="9"/>
        <v>0</v>
      </c>
      <c r="E160" s="92">
        <v>5348</v>
      </c>
      <c r="F160" s="54"/>
      <c r="G160" s="54"/>
      <c r="H160" s="52">
        <f>'4.pielikums'!B156</f>
        <v>5348</v>
      </c>
      <c r="I160" s="75"/>
    </row>
    <row r="161" spans="1:9" ht="30" customHeight="1">
      <c r="A161" s="56"/>
      <c r="B161" s="103" t="s">
        <v>115</v>
      </c>
      <c r="C161" s="59"/>
      <c r="D161" s="54">
        <f t="shared" si="9"/>
        <v>0</v>
      </c>
      <c r="E161" s="92">
        <v>5000</v>
      </c>
      <c r="F161" s="54"/>
      <c r="G161" s="54"/>
      <c r="H161" s="52">
        <f>'4.pielikums'!B157</f>
        <v>5000</v>
      </c>
      <c r="I161" s="75"/>
    </row>
    <row r="162" spans="1:9" ht="15" customHeight="1">
      <c r="A162" s="56"/>
      <c r="B162" s="104" t="s">
        <v>151</v>
      </c>
      <c r="C162" s="59"/>
      <c r="D162" s="54">
        <f>H162-E162-G162-F162-C162</f>
        <v>900</v>
      </c>
      <c r="E162" s="92">
        <v>5600</v>
      </c>
      <c r="F162" s="54"/>
      <c r="G162" s="54"/>
      <c r="H162" s="52">
        <f>'4.pielikums'!B158</f>
        <v>6500</v>
      </c>
      <c r="I162" s="75"/>
    </row>
    <row r="163" spans="1:9" s="74" customFormat="1" ht="30" customHeight="1">
      <c r="A163" s="79"/>
      <c r="B163" s="103" t="s">
        <v>725</v>
      </c>
      <c r="C163" s="58"/>
      <c r="D163" s="53">
        <f t="shared" si="9"/>
        <v>0</v>
      </c>
      <c r="E163" s="99">
        <v>3193</v>
      </c>
      <c r="F163" s="53"/>
      <c r="G163" s="53"/>
      <c r="H163" s="127">
        <f>'4.pielikums'!B160</f>
        <v>3193</v>
      </c>
      <c r="I163" s="75"/>
    </row>
    <row r="164" spans="1:9" ht="30" customHeight="1">
      <c r="A164" s="56"/>
      <c r="B164" s="103" t="s">
        <v>108</v>
      </c>
      <c r="C164" s="59"/>
      <c r="D164" s="54">
        <f t="shared" si="9"/>
        <v>0</v>
      </c>
      <c r="E164" s="92">
        <v>7036</v>
      </c>
      <c r="F164" s="54"/>
      <c r="G164" s="54"/>
      <c r="H164" s="52">
        <f>'4.pielikums'!B161</f>
        <v>7036</v>
      </c>
      <c r="I164" s="75"/>
    </row>
    <row r="165" spans="1:9" ht="15" customHeight="1">
      <c r="A165" s="56"/>
      <c r="B165" s="103" t="s">
        <v>112</v>
      </c>
      <c r="C165" s="59"/>
      <c r="D165" s="54">
        <f t="shared" si="9"/>
        <v>0</v>
      </c>
      <c r="E165" s="92">
        <v>2977</v>
      </c>
      <c r="F165" s="54"/>
      <c r="G165" s="54"/>
      <c r="H165" s="52">
        <f>'4.pielikums'!B162</f>
        <v>2977</v>
      </c>
      <c r="I165" s="75"/>
    </row>
    <row r="166" spans="1:9" ht="15" customHeight="1">
      <c r="A166" s="56"/>
      <c r="B166" s="104" t="s">
        <v>152</v>
      </c>
      <c r="C166" s="59"/>
      <c r="D166" s="54">
        <f t="shared" si="9"/>
        <v>0</v>
      </c>
      <c r="E166" s="92">
        <v>6650</v>
      </c>
      <c r="F166" s="54"/>
      <c r="G166" s="54"/>
      <c r="H166" s="52">
        <f>'4.pielikums'!B163</f>
        <v>6650</v>
      </c>
      <c r="I166" s="75"/>
    </row>
    <row r="167" spans="1:9" ht="15" customHeight="1">
      <c r="A167" s="56"/>
      <c r="B167" s="103" t="s">
        <v>113</v>
      </c>
      <c r="C167" s="59"/>
      <c r="D167" s="54">
        <f t="shared" si="9"/>
        <v>0</v>
      </c>
      <c r="E167" s="92">
        <v>2127</v>
      </c>
      <c r="F167" s="54"/>
      <c r="G167" s="54"/>
      <c r="H167" s="52">
        <f>'4.pielikums'!B165</f>
        <v>2127</v>
      </c>
      <c r="I167" s="75"/>
    </row>
    <row r="168" spans="1:9" ht="15" customHeight="1">
      <c r="A168" s="56"/>
      <c r="B168" s="103" t="s">
        <v>260</v>
      </c>
      <c r="C168" s="59"/>
      <c r="D168" s="54">
        <f t="shared" si="9"/>
        <v>2942</v>
      </c>
      <c r="E168" s="92">
        <v>6463</v>
      </c>
      <c r="F168" s="54"/>
      <c r="G168" s="54"/>
      <c r="H168" s="52">
        <f>'4.pielikums'!B166</f>
        <v>9405</v>
      </c>
      <c r="I168" s="75"/>
    </row>
    <row r="169" spans="1:9" s="74" customFormat="1" ht="15" customHeight="1">
      <c r="A169" s="79"/>
      <c r="B169" s="103" t="s">
        <v>716</v>
      </c>
      <c r="C169" s="58"/>
      <c r="D169" s="53">
        <f t="shared" si="9"/>
        <v>1470</v>
      </c>
      <c r="E169" s="99">
        <v>4189</v>
      </c>
      <c r="F169" s="53"/>
      <c r="G169" s="53"/>
      <c r="H169" s="127">
        <f>'4.pielikums'!B168</f>
        <v>5659</v>
      </c>
      <c r="I169" s="75"/>
    </row>
    <row r="170" spans="1:9" ht="15" customHeight="1">
      <c r="A170" s="56"/>
      <c r="B170" s="103" t="s">
        <v>110</v>
      </c>
      <c r="C170" s="59"/>
      <c r="D170" s="54">
        <f t="shared" si="9"/>
        <v>0</v>
      </c>
      <c r="E170" s="99">
        <v>3605</v>
      </c>
      <c r="F170" s="54"/>
      <c r="G170" s="54"/>
      <c r="H170" s="52">
        <f>'4.pielikums'!B167</f>
        <v>3605</v>
      </c>
      <c r="I170" s="75"/>
    </row>
    <row r="171" spans="1:9" ht="15" customHeight="1">
      <c r="A171" s="56"/>
      <c r="B171" s="103" t="s">
        <v>118</v>
      </c>
      <c r="C171" s="59"/>
      <c r="D171" s="54">
        <f t="shared" si="9"/>
        <v>1574</v>
      </c>
      <c r="E171" s="92">
        <v>2400</v>
      </c>
      <c r="F171" s="54"/>
      <c r="G171" s="54"/>
      <c r="H171" s="52">
        <f>'4.pielikums'!B169</f>
        <v>3974</v>
      </c>
      <c r="I171" s="75"/>
    </row>
    <row r="172" spans="1:9" ht="30" customHeight="1">
      <c r="A172" s="56"/>
      <c r="B172" s="103" t="s">
        <v>105</v>
      </c>
      <c r="C172" s="59"/>
      <c r="D172" s="54">
        <f t="shared" si="9"/>
        <v>14895</v>
      </c>
      <c r="E172" s="92">
        <f>15900</f>
        <v>15900</v>
      </c>
      <c r="F172" s="54"/>
      <c r="G172" s="54"/>
      <c r="H172" s="52">
        <f>'4.pielikums'!B170</f>
        <v>30795</v>
      </c>
      <c r="I172" s="75"/>
    </row>
    <row r="173" spans="1:9" ht="30" customHeight="1">
      <c r="A173" s="56"/>
      <c r="B173" s="103" t="s">
        <v>717</v>
      </c>
      <c r="C173" s="59"/>
      <c r="D173" s="54">
        <f t="shared" si="9"/>
        <v>0</v>
      </c>
      <c r="E173" s="92">
        <v>2560</v>
      </c>
      <c r="F173" s="54"/>
      <c r="G173" s="54"/>
      <c r="H173" s="52">
        <f>'4.pielikums'!B171</f>
        <v>2560</v>
      </c>
      <c r="I173" s="75"/>
    </row>
    <row r="174" spans="1:9" ht="15" customHeight="1">
      <c r="A174" s="56"/>
      <c r="B174" s="103" t="s">
        <v>342</v>
      </c>
      <c r="C174" s="59"/>
      <c r="D174" s="54">
        <f t="shared" si="9"/>
        <v>4058</v>
      </c>
      <c r="E174" s="92">
        <f>8308</f>
        <v>8308</v>
      </c>
      <c r="F174" s="54"/>
      <c r="G174" s="54"/>
      <c r="H174" s="52">
        <f>'4.pielikums'!B172</f>
        <v>12366</v>
      </c>
      <c r="I174" s="75"/>
    </row>
    <row r="175" spans="1:9" ht="30" customHeight="1">
      <c r="A175" s="56"/>
      <c r="B175" s="103" t="s">
        <v>242</v>
      </c>
      <c r="C175" s="59"/>
      <c r="D175" s="54">
        <f>H175-E175-G175-F175-C175</f>
        <v>0</v>
      </c>
      <c r="E175" s="92"/>
      <c r="F175" s="54"/>
      <c r="G175" s="54">
        <f>252621+128326</f>
        <v>380947</v>
      </c>
      <c r="H175" s="52">
        <f>'4.pielikums'!B333</f>
        <v>380947</v>
      </c>
      <c r="I175" s="75"/>
    </row>
    <row r="176" spans="1:9" ht="30" customHeight="1">
      <c r="A176" s="56"/>
      <c r="B176" s="73" t="s">
        <v>148</v>
      </c>
      <c r="C176" s="59"/>
      <c r="D176" s="54">
        <f t="shared" si="9"/>
        <v>26000</v>
      </c>
      <c r="E176" s="92"/>
      <c r="F176" s="54"/>
      <c r="G176" s="54"/>
      <c r="H176" s="52">
        <f>'4.pielikums'!B173</f>
        <v>26000</v>
      </c>
      <c r="I176" s="75"/>
    </row>
    <row r="177" spans="1:9" ht="30" customHeight="1">
      <c r="A177" s="56"/>
      <c r="B177" s="73" t="s">
        <v>692</v>
      </c>
      <c r="C177" s="59"/>
      <c r="D177" s="54">
        <f t="shared" si="9"/>
        <v>0</v>
      </c>
      <c r="E177" s="92"/>
      <c r="F177" s="54">
        <f>2000+3846</f>
        <v>5846</v>
      </c>
      <c r="G177" s="54"/>
      <c r="H177" s="52">
        <f>'4.pielikums'!B330</f>
        <v>5846</v>
      </c>
      <c r="I177" s="75"/>
    </row>
    <row r="178" spans="1:9" ht="30" customHeight="1">
      <c r="A178" s="56"/>
      <c r="B178" s="73" t="s">
        <v>751</v>
      </c>
      <c r="C178" s="59"/>
      <c r="D178" s="54">
        <f t="shared" si="9"/>
        <v>60000</v>
      </c>
      <c r="E178" s="92"/>
      <c r="F178" s="54"/>
      <c r="G178" s="54"/>
      <c r="H178" s="52">
        <f>'4.pielikums'!B334</f>
        <v>60000</v>
      </c>
      <c r="I178" s="75"/>
    </row>
    <row r="179" spans="1:9" s="74" customFormat="1" ht="15" customHeight="1">
      <c r="A179" s="79"/>
      <c r="B179" s="73" t="s">
        <v>185</v>
      </c>
      <c r="C179" s="58"/>
      <c r="D179" s="53">
        <f t="shared" si="9"/>
        <v>100000</v>
      </c>
      <c r="E179" s="99"/>
      <c r="F179" s="53"/>
      <c r="G179" s="53"/>
      <c r="H179" s="127">
        <f>'4.pielikums'!B331</f>
        <v>100000</v>
      </c>
      <c r="I179" s="75"/>
    </row>
    <row r="180" spans="1:9" s="74" customFormat="1" ht="60" customHeight="1">
      <c r="A180" s="79"/>
      <c r="B180" s="107" t="s">
        <v>880</v>
      </c>
      <c r="C180" s="58"/>
      <c r="D180" s="53"/>
      <c r="E180" s="99"/>
      <c r="F180" s="99">
        <v>1078</v>
      </c>
      <c r="G180" s="53"/>
      <c r="H180" s="127">
        <f>'4.pielikums'!B356</f>
        <v>1078</v>
      </c>
      <c r="I180" s="75"/>
    </row>
    <row r="181" spans="1:9" ht="15" customHeight="1">
      <c r="A181" s="15" t="s">
        <v>290</v>
      </c>
      <c r="B181" s="83" t="s">
        <v>291</v>
      </c>
      <c r="C181" s="63">
        <f>SUM(C182:C191)</f>
        <v>0</v>
      </c>
      <c r="D181" s="63">
        <f t="shared" si="12" ref="D181:G181">SUM(D182:D191)</f>
        <v>14303</v>
      </c>
      <c r="E181" s="63">
        <f t="shared" si="12"/>
        <v>510</v>
      </c>
      <c r="F181" s="63">
        <f t="shared" si="12"/>
        <v>135263</v>
      </c>
      <c r="G181" s="63">
        <f t="shared" si="12"/>
        <v>0</v>
      </c>
      <c r="H181" s="52">
        <f>SUM(H182:H191)</f>
        <v>150076</v>
      </c>
      <c r="I181" s="75"/>
    </row>
    <row r="182" spans="1:9" ht="15" customHeight="1">
      <c r="A182" s="56"/>
      <c r="B182" s="72" t="s">
        <v>292</v>
      </c>
      <c r="C182" s="59"/>
      <c r="D182" s="54">
        <f>H182-E182-G182-F182-C182</f>
        <v>897</v>
      </c>
      <c r="E182" s="92">
        <v>150</v>
      </c>
      <c r="F182" s="92">
        <v>12896</v>
      </c>
      <c r="G182" s="54"/>
      <c r="H182" s="52">
        <f>'4.pielikums'!B174</f>
        <v>13943</v>
      </c>
      <c r="I182" s="75"/>
    </row>
    <row r="183" spans="1:9" ht="15" customHeight="1">
      <c r="A183" s="56"/>
      <c r="B183" s="72" t="s">
        <v>293</v>
      </c>
      <c r="C183" s="59"/>
      <c r="D183" s="54">
        <f t="shared" si="9"/>
        <v>2773</v>
      </c>
      <c r="E183" s="92">
        <v>50</v>
      </c>
      <c r="F183" s="92">
        <v>12266</v>
      </c>
      <c r="G183" s="54"/>
      <c r="H183" s="52">
        <f>'4.pielikums'!B175</f>
        <v>15089</v>
      </c>
      <c r="I183" s="75"/>
    </row>
    <row r="184" spans="1:9" ht="15" customHeight="1">
      <c r="A184" s="56"/>
      <c r="B184" s="72" t="s">
        <v>294</v>
      </c>
      <c r="C184" s="59"/>
      <c r="D184" s="54">
        <f t="shared" si="13" ref="D184:D191">H184-E184-G184-F184-C184</f>
        <v>965</v>
      </c>
      <c r="E184" s="92">
        <v>50</v>
      </c>
      <c r="F184" s="92">
        <v>12896</v>
      </c>
      <c r="G184" s="54"/>
      <c r="H184" s="52">
        <f>'4.pielikums'!B176</f>
        <v>13911</v>
      </c>
      <c r="I184" s="75"/>
    </row>
    <row r="185" spans="1:9" ht="15" customHeight="1">
      <c r="A185" s="56"/>
      <c r="B185" s="72" t="s">
        <v>153</v>
      </c>
      <c r="C185" s="59"/>
      <c r="D185" s="54">
        <f t="shared" si="13"/>
        <v>-10</v>
      </c>
      <c r="E185" s="92">
        <v>10</v>
      </c>
      <c r="F185" s="92">
        <v>12896</v>
      </c>
      <c r="G185" s="54"/>
      <c r="H185" s="52">
        <f>'4.pielikums'!B177</f>
        <v>12896</v>
      </c>
      <c r="I185" s="75"/>
    </row>
    <row r="186" spans="1:9" ht="15" customHeight="1">
      <c r="A186" s="56"/>
      <c r="B186" s="72" t="s">
        <v>295</v>
      </c>
      <c r="C186" s="59"/>
      <c r="D186" s="54">
        <f t="shared" si="13"/>
        <v>78</v>
      </c>
      <c r="E186" s="92">
        <v>50</v>
      </c>
      <c r="F186" s="92">
        <v>12896</v>
      </c>
      <c r="G186" s="54"/>
      <c r="H186" s="52">
        <f>'4.pielikums'!B178</f>
        <v>13024</v>
      </c>
      <c r="I186" s="75"/>
    </row>
    <row r="187" spans="1:9" ht="15" customHeight="1">
      <c r="A187" s="56"/>
      <c r="B187" s="72" t="s">
        <v>296</v>
      </c>
      <c r="C187" s="59"/>
      <c r="D187" s="54">
        <f t="shared" si="13"/>
        <v>2968</v>
      </c>
      <c r="E187" s="92">
        <v>50</v>
      </c>
      <c r="F187" s="92">
        <v>12896</v>
      </c>
      <c r="G187" s="54"/>
      <c r="H187" s="52">
        <f>'4.pielikums'!B179</f>
        <v>15914</v>
      </c>
      <c r="I187" s="75"/>
    </row>
    <row r="188" spans="1:9" ht="15" customHeight="1">
      <c r="A188" s="56"/>
      <c r="B188" s="103" t="s">
        <v>297</v>
      </c>
      <c r="C188" s="59"/>
      <c r="D188" s="54">
        <f t="shared" si="13"/>
        <v>2674</v>
      </c>
      <c r="E188" s="92">
        <v>50</v>
      </c>
      <c r="F188" s="92">
        <v>12896</v>
      </c>
      <c r="G188" s="54"/>
      <c r="H188" s="52">
        <f>'4.pielikums'!B180</f>
        <v>15620</v>
      </c>
      <c r="I188" s="75"/>
    </row>
    <row r="189" spans="1:9" ht="15" customHeight="1">
      <c r="A189" s="56"/>
      <c r="B189" s="72" t="s">
        <v>298</v>
      </c>
      <c r="C189" s="59"/>
      <c r="D189" s="54">
        <f t="shared" si="13"/>
        <v>3880</v>
      </c>
      <c r="E189" s="92">
        <v>50</v>
      </c>
      <c r="F189" s="92">
        <v>12896</v>
      </c>
      <c r="G189" s="54"/>
      <c r="H189" s="52">
        <f>'4.pielikums'!B181</f>
        <v>16826</v>
      </c>
      <c r="I189" s="75"/>
    </row>
    <row r="190" spans="1:9" ht="15" customHeight="1">
      <c r="A190" s="56"/>
      <c r="B190" s="72" t="s">
        <v>299</v>
      </c>
      <c r="C190" s="59"/>
      <c r="D190" s="54">
        <f t="shared" si="13"/>
        <v>78</v>
      </c>
      <c r="E190" s="92">
        <v>50</v>
      </c>
      <c r="F190" s="92">
        <v>12896</v>
      </c>
      <c r="G190" s="54"/>
      <c r="H190" s="52">
        <f>'4.pielikums'!B182</f>
        <v>13024</v>
      </c>
      <c r="I190" s="75"/>
    </row>
    <row r="191" spans="1:9" ht="15" customHeight="1">
      <c r="A191" s="56"/>
      <c r="B191" s="71" t="s">
        <v>300</v>
      </c>
      <c r="C191" s="59"/>
      <c r="D191" s="54">
        <f t="shared" si="13"/>
        <v>0</v>
      </c>
      <c r="E191" s="92"/>
      <c r="F191" s="92">
        <v>19829</v>
      </c>
      <c r="G191" s="54"/>
      <c r="H191" s="52">
        <f>'4.pielikums'!B183</f>
        <v>19829</v>
      </c>
      <c r="I191" s="75"/>
    </row>
    <row r="192" spans="1:9" ht="15" customHeight="1">
      <c r="A192" s="15" t="s">
        <v>301</v>
      </c>
      <c r="B192" s="83" t="s">
        <v>659</v>
      </c>
      <c r="C192" s="63">
        <f t="shared" si="14" ref="C192:G192">C193+C200+C202+C208+C229</f>
        <v>112700</v>
      </c>
      <c r="D192" s="63">
        <f t="shared" si="14"/>
        <v>2174295</v>
      </c>
      <c r="E192" s="63">
        <f t="shared" si="14"/>
        <v>112041</v>
      </c>
      <c r="F192" s="63">
        <f>F193+F200+F202+F208+F229</f>
        <v>76696</v>
      </c>
      <c r="G192" s="63">
        <f t="shared" si="14"/>
        <v>283341</v>
      </c>
      <c r="H192" s="52">
        <f>H193+H200+H202+H208+H229</f>
        <v>2759073.23</v>
      </c>
      <c r="I192" s="75"/>
    </row>
    <row r="193" spans="1:9" ht="15" customHeight="1">
      <c r="A193" s="15"/>
      <c r="B193" s="83" t="s">
        <v>302</v>
      </c>
      <c r="C193" s="63">
        <f>SUM(C194:C198)</f>
        <v>0</v>
      </c>
      <c r="D193" s="63">
        <f>SUM(D194:D198)</f>
        <v>180881</v>
      </c>
      <c r="E193" s="63">
        <f t="shared" si="15" ref="E193:G193">SUM(E194:E198)</f>
        <v>3120</v>
      </c>
      <c r="F193" s="63">
        <f t="shared" si="15"/>
        <v>0</v>
      </c>
      <c r="G193" s="63">
        <f t="shared" si="15"/>
        <v>0</v>
      </c>
      <c r="H193" s="52">
        <f>SUM(H194:H198)</f>
        <v>184001</v>
      </c>
      <c r="I193" s="75"/>
    </row>
    <row r="194" spans="1:9" ht="15" customHeight="1">
      <c r="A194" s="56"/>
      <c r="B194" s="84" t="s">
        <v>177</v>
      </c>
      <c r="C194" s="64"/>
      <c r="D194" s="54">
        <f t="shared" si="16" ref="D194:D233">H194-E194-G194-F194-C194</f>
        <v>76922</v>
      </c>
      <c r="E194" s="54"/>
      <c r="F194" s="54"/>
      <c r="G194" s="54"/>
      <c r="H194" s="52">
        <f>'4.pielikums'!B184</f>
        <v>76922</v>
      </c>
      <c r="I194" s="75"/>
    </row>
    <row r="195" spans="1:9" ht="15" customHeight="1">
      <c r="A195" s="56"/>
      <c r="B195" s="72" t="s">
        <v>208</v>
      </c>
      <c r="C195" s="59"/>
      <c r="D195" s="54">
        <f t="shared" si="16"/>
        <v>30774</v>
      </c>
      <c r="E195" s="54">
        <v>2120</v>
      </c>
      <c r="F195" s="54"/>
      <c r="G195" s="54"/>
      <c r="H195" s="52">
        <f>'4.pielikums'!B186</f>
        <v>32894</v>
      </c>
      <c r="I195" s="75"/>
    </row>
    <row r="196" spans="1:9" ht="15" customHeight="1">
      <c r="A196" s="56"/>
      <c r="B196" s="72" t="s">
        <v>230</v>
      </c>
      <c r="C196" s="59"/>
      <c r="D196" s="54">
        <f t="shared" si="16"/>
        <v>24492</v>
      </c>
      <c r="E196" s="54">
        <f>1000</f>
        <v>1000</v>
      </c>
      <c r="F196" s="54"/>
      <c r="G196" s="54"/>
      <c r="H196" s="52">
        <f>'4.pielikums'!B189</f>
        <v>25492</v>
      </c>
      <c r="I196" s="75"/>
    </row>
    <row r="197" spans="1:9" ht="15" customHeight="1">
      <c r="A197" s="56"/>
      <c r="B197" s="72" t="s">
        <v>737</v>
      </c>
      <c r="C197" s="59"/>
      <c r="D197" s="54">
        <f t="shared" si="16"/>
        <v>29524</v>
      </c>
      <c r="E197" s="54"/>
      <c r="F197" s="54"/>
      <c r="G197" s="54"/>
      <c r="H197" s="52">
        <f>'4.pielikums'!B329</f>
        <v>29524</v>
      </c>
      <c r="I197" s="75"/>
    </row>
    <row r="198" spans="1:9" ht="15" customHeight="1">
      <c r="A198" s="56"/>
      <c r="B198" s="72" t="s">
        <v>782</v>
      </c>
      <c r="C198" s="59"/>
      <c r="D198" s="54">
        <f t="shared" si="16"/>
        <v>19169</v>
      </c>
      <c r="E198" s="54"/>
      <c r="F198" s="54"/>
      <c r="G198" s="54"/>
      <c r="H198" s="52">
        <f>'4.pielikums'!B188</f>
        <v>19169</v>
      </c>
      <c r="I198" s="75"/>
    </row>
    <row r="199" spans="1:9" ht="15" customHeight="1">
      <c r="A199" s="15"/>
      <c r="B199" s="83" t="s">
        <v>303</v>
      </c>
      <c r="C199" s="68"/>
      <c r="D199" s="54"/>
      <c r="E199" s="63"/>
      <c r="F199" s="63"/>
      <c r="G199" s="63"/>
      <c r="H199" s="52"/>
      <c r="I199" s="75"/>
    </row>
    <row r="200" spans="1:9" ht="15" customHeight="1">
      <c r="A200" s="15"/>
      <c r="B200" s="83" t="s">
        <v>304</v>
      </c>
      <c r="C200" s="63">
        <f t="shared" si="17" ref="C200:G200">SUM(C201:C201)</f>
        <v>0</v>
      </c>
      <c r="D200" s="63">
        <f t="shared" si="17"/>
        <v>452864</v>
      </c>
      <c r="E200" s="63">
        <f t="shared" si="17"/>
        <v>1800</v>
      </c>
      <c r="F200" s="63">
        <f t="shared" si="17"/>
        <v>18531</v>
      </c>
      <c r="G200" s="63">
        <f t="shared" si="17"/>
        <v>0</v>
      </c>
      <c r="H200" s="52">
        <f>SUM(H201:H201)</f>
        <v>473195</v>
      </c>
      <c r="I200" s="75"/>
    </row>
    <row r="201" spans="1:9" ht="15" customHeight="1">
      <c r="A201" s="56"/>
      <c r="B201" s="84" t="s">
        <v>36</v>
      </c>
      <c r="C201" s="64"/>
      <c r="D201" s="54">
        <f t="shared" si="16"/>
        <v>452864</v>
      </c>
      <c r="E201" s="54">
        <v>1800</v>
      </c>
      <c r="F201" s="53">
        <v>18531</v>
      </c>
      <c r="G201" s="54"/>
      <c r="H201" s="52">
        <f>'4.pielikums'!B190</f>
        <v>473195</v>
      </c>
      <c r="I201" s="75"/>
    </row>
    <row r="202" spans="1:9" ht="15" customHeight="1">
      <c r="A202" s="15"/>
      <c r="B202" s="83" t="s">
        <v>305</v>
      </c>
      <c r="C202" s="63">
        <f>SUM(C203:C207)</f>
        <v>0</v>
      </c>
      <c r="D202" s="63">
        <f t="shared" si="18" ref="D202:G202">SUM(D203:D207)</f>
        <v>228117</v>
      </c>
      <c r="E202" s="63">
        <f t="shared" si="18"/>
        <v>13760</v>
      </c>
      <c r="F202" s="63">
        <f t="shared" si="18"/>
        <v>0</v>
      </c>
      <c r="G202" s="63">
        <f t="shared" si="18"/>
        <v>0</v>
      </c>
      <c r="H202" s="52">
        <f>SUM(H203:H207)</f>
        <v>241877</v>
      </c>
      <c r="I202" s="75"/>
    </row>
    <row r="203" spans="1:9" ht="15" customHeight="1">
      <c r="A203" s="56"/>
      <c r="B203" s="84" t="s">
        <v>306</v>
      </c>
      <c r="C203" s="64"/>
      <c r="D203" s="54">
        <f t="shared" si="16"/>
        <v>117136</v>
      </c>
      <c r="E203" s="54">
        <v>10740</v>
      </c>
      <c r="F203" s="54"/>
      <c r="G203" s="54"/>
      <c r="H203" s="52">
        <f>'4.pielikums'!B191</f>
        <v>127876</v>
      </c>
      <c r="I203" s="75"/>
    </row>
    <row r="204" spans="1:9" ht="15" customHeight="1">
      <c r="A204" s="56"/>
      <c r="B204" s="84" t="s">
        <v>154</v>
      </c>
      <c r="C204" s="64"/>
      <c r="D204" s="54">
        <f t="shared" si="16"/>
        <v>48951</v>
      </c>
      <c r="E204" s="54">
        <v>350</v>
      </c>
      <c r="F204" s="54"/>
      <c r="G204" s="54"/>
      <c r="H204" s="52">
        <f>'4.pielikums'!B193</f>
        <v>49301</v>
      </c>
      <c r="I204" s="75"/>
    </row>
    <row r="205" spans="1:9" ht="15" customHeight="1">
      <c r="A205" s="56"/>
      <c r="B205" s="73" t="s">
        <v>136</v>
      </c>
      <c r="C205" s="59"/>
      <c r="D205" s="54">
        <f t="shared" si="16"/>
        <v>10051</v>
      </c>
      <c r="E205" s="54"/>
      <c r="F205" s="54"/>
      <c r="G205" s="54"/>
      <c r="H205" s="52">
        <f>'4.pielikums'!B194</f>
        <v>10051</v>
      </c>
      <c r="I205" s="75"/>
    </row>
    <row r="206" spans="1:9" ht="15" customHeight="1">
      <c r="A206" s="56"/>
      <c r="B206" s="103" t="s">
        <v>135</v>
      </c>
      <c r="C206" s="59"/>
      <c r="D206" s="54">
        <f t="shared" si="16"/>
        <v>39374</v>
      </c>
      <c r="E206" s="54">
        <v>1370</v>
      </c>
      <c r="F206" s="54"/>
      <c r="G206" s="54"/>
      <c r="H206" s="52">
        <f>'4.pielikums'!B195</f>
        <v>40744</v>
      </c>
      <c r="I206" s="75"/>
    </row>
    <row r="207" spans="1:9" ht="30" customHeight="1">
      <c r="A207" s="56"/>
      <c r="B207" s="103" t="s">
        <v>134</v>
      </c>
      <c r="C207" s="59"/>
      <c r="D207" s="54">
        <f t="shared" si="16"/>
        <v>12605</v>
      </c>
      <c r="E207" s="54">
        <v>1300</v>
      </c>
      <c r="F207" s="54"/>
      <c r="G207" s="54"/>
      <c r="H207" s="52">
        <f>'4.pielikums'!B197</f>
        <v>13905</v>
      </c>
      <c r="I207" s="75"/>
    </row>
    <row r="208" spans="1:9" ht="15" customHeight="1">
      <c r="A208" s="15"/>
      <c r="B208" s="83" t="s">
        <v>307</v>
      </c>
      <c r="C208" s="63">
        <f>SUM(C209:C228)</f>
        <v>0</v>
      </c>
      <c r="D208" s="63">
        <f t="shared" si="19" ref="D208:G208">SUM(D209:D228)</f>
        <v>1015940</v>
      </c>
      <c r="E208" s="63">
        <f t="shared" si="19"/>
        <v>93361</v>
      </c>
      <c r="F208" s="63">
        <f t="shared" si="19"/>
        <v>27404</v>
      </c>
      <c r="G208" s="63">
        <f t="shared" si="19"/>
        <v>0</v>
      </c>
      <c r="H208" s="52">
        <f>SUM(H209:H228)</f>
        <v>1136705</v>
      </c>
      <c r="I208" s="75"/>
    </row>
    <row r="209" spans="1:9" ht="15" customHeight="1">
      <c r="A209" s="56"/>
      <c r="B209" s="84" t="s">
        <v>80</v>
      </c>
      <c r="C209" s="64"/>
      <c r="D209" s="54">
        <f t="shared" si="16"/>
        <v>232660</v>
      </c>
      <c r="E209" s="54">
        <v>8194</v>
      </c>
      <c r="F209" s="54">
        <v>6851</v>
      </c>
      <c r="G209" s="54"/>
      <c r="H209" s="52">
        <f>'4.pielikums'!B198</f>
        <v>247705</v>
      </c>
      <c r="I209" s="75"/>
    </row>
    <row r="210" spans="1:9" ht="30" customHeight="1">
      <c r="A210" s="56"/>
      <c r="B210" s="72" t="s">
        <v>311</v>
      </c>
      <c r="C210" s="59"/>
      <c r="D210" s="54">
        <f t="shared" si="16"/>
        <v>23920</v>
      </c>
      <c r="E210" s="54">
        <v>38136</v>
      </c>
      <c r="F210" s="54">
        <v>0</v>
      </c>
      <c r="G210" s="54"/>
      <c r="H210" s="52">
        <f>'4.pielikums'!B200</f>
        <v>62056</v>
      </c>
      <c r="I210" s="75"/>
    </row>
    <row r="211" spans="1:9" ht="15" customHeight="1">
      <c r="A211" s="56"/>
      <c r="B211" s="72" t="s">
        <v>155</v>
      </c>
      <c r="C211" s="59"/>
      <c r="D211" s="54">
        <f t="shared" si="16"/>
        <v>41869</v>
      </c>
      <c r="E211" s="92">
        <f>130+1800</f>
        <v>1930</v>
      </c>
      <c r="F211" s="92">
        <v>2015</v>
      </c>
      <c r="G211" s="54"/>
      <c r="H211" s="52">
        <f>'4.pielikums'!B201</f>
        <v>45814</v>
      </c>
      <c r="I211" s="75"/>
    </row>
    <row r="212" spans="1:9" ht="15" customHeight="1">
      <c r="A212" s="56"/>
      <c r="B212" s="84" t="s">
        <v>201</v>
      </c>
      <c r="C212" s="64"/>
      <c r="D212" s="54">
        <f>H212-E212-G212-F212-C212</f>
        <v>43091</v>
      </c>
      <c r="E212" s="92">
        <v>2850</v>
      </c>
      <c r="F212" s="92">
        <v>403</v>
      </c>
      <c r="G212" s="54"/>
      <c r="H212" s="52">
        <f>'4.pielikums'!B202</f>
        <v>46344</v>
      </c>
      <c r="I212" s="75"/>
    </row>
    <row r="213" spans="1:9" ht="15" customHeight="1">
      <c r="A213" s="56"/>
      <c r="B213" s="72" t="s">
        <v>308</v>
      </c>
      <c r="C213" s="59"/>
      <c r="D213" s="54">
        <f t="shared" si="16"/>
        <v>39483</v>
      </c>
      <c r="E213" s="92">
        <v>450</v>
      </c>
      <c r="F213" s="92">
        <v>2015</v>
      </c>
      <c r="G213" s="54"/>
      <c r="H213" s="52">
        <f>'4.pielikums'!B203</f>
        <v>41948</v>
      </c>
      <c r="I213" s="75"/>
    </row>
    <row r="214" spans="1:9" ht="15" customHeight="1">
      <c r="A214" s="56"/>
      <c r="B214" s="84" t="s">
        <v>39</v>
      </c>
      <c r="C214" s="64"/>
      <c r="D214" s="54">
        <f t="shared" si="16"/>
        <v>30556</v>
      </c>
      <c r="E214" s="92">
        <v>282</v>
      </c>
      <c r="F214" s="92">
        <v>806</v>
      </c>
      <c r="G214" s="54"/>
      <c r="H214" s="52">
        <f>'4.pielikums'!B204</f>
        <v>31644</v>
      </c>
      <c r="I214" s="75"/>
    </row>
    <row r="215" spans="1:9" ht="15" customHeight="1">
      <c r="A215" s="56"/>
      <c r="B215" s="84" t="s">
        <v>40</v>
      </c>
      <c r="C215" s="64"/>
      <c r="D215" s="54">
        <f t="shared" si="16"/>
        <v>54583</v>
      </c>
      <c r="E215" s="92">
        <f>350+2467</f>
        <v>2817</v>
      </c>
      <c r="F215" s="93"/>
      <c r="G215" s="54"/>
      <c r="H215" s="52">
        <f>'4.pielikums'!B205</f>
        <v>57400</v>
      </c>
      <c r="I215" s="75"/>
    </row>
    <row r="216" spans="1:9" ht="15" customHeight="1">
      <c r="A216" s="56"/>
      <c r="B216" s="72" t="s">
        <v>132</v>
      </c>
      <c r="C216" s="59"/>
      <c r="D216" s="54">
        <f t="shared" si="16"/>
        <v>40811</v>
      </c>
      <c r="E216" s="92">
        <v>6100</v>
      </c>
      <c r="F216" s="92">
        <v>403</v>
      </c>
      <c r="G216" s="54"/>
      <c r="H216" s="52">
        <f>'4.pielikums'!B206</f>
        <v>47314</v>
      </c>
      <c r="I216" s="75"/>
    </row>
    <row r="217" spans="1:9" ht="15" customHeight="1">
      <c r="A217" s="56"/>
      <c r="B217" s="84" t="s">
        <v>309</v>
      </c>
      <c r="C217" s="64"/>
      <c r="D217" s="54">
        <f t="shared" si="16"/>
        <v>11889</v>
      </c>
      <c r="E217" s="92">
        <f>25+200</f>
        <v>225</v>
      </c>
      <c r="F217" s="93"/>
      <c r="G217" s="54"/>
      <c r="H217" s="52">
        <f>'4.pielikums'!B207</f>
        <v>12114</v>
      </c>
      <c r="I217" s="75"/>
    </row>
    <row r="218" spans="1:9" ht="15" customHeight="1">
      <c r="A218" s="56"/>
      <c r="B218" s="103" t="s">
        <v>159</v>
      </c>
      <c r="C218" s="59"/>
      <c r="D218" s="54">
        <f t="shared" si="16"/>
        <v>31241</v>
      </c>
      <c r="E218" s="92">
        <v>5000</v>
      </c>
      <c r="F218" s="92">
        <v>1209</v>
      </c>
      <c r="G218" s="54"/>
      <c r="H218" s="52">
        <f>'4.pielikums'!B208</f>
        <v>37450</v>
      </c>
      <c r="I218" s="75"/>
    </row>
    <row r="219" spans="1:9" ht="15" customHeight="1">
      <c r="A219" s="56"/>
      <c r="B219" s="84" t="s">
        <v>207</v>
      </c>
      <c r="C219" s="64"/>
      <c r="D219" s="54">
        <f t="shared" si="16"/>
        <v>24684</v>
      </c>
      <c r="E219" s="92">
        <f>50+560</f>
        <v>610</v>
      </c>
      <c r="F219" s="92"/>
      <c r="G219" s="54"/>
      <c r="H219" s="52">
        <f>'4.pielikums'!B209</f>
        <v>25294</v>
      </c>
      <c r="I219" s="75"/>
    </row>
    <row r="220" spans="1:9" ht="15" customHeight="1">
      <c r="A220" s="56"/>
      <c r="B220" s="84" t="s">
        <v>198</v>
      </c>
      <c r="C220" s="64"/>
      <c r="D220" s="54">
        <f t="shared" si="16"/>
        <v>18366</v>
      </c>
      <c r="E220" s="92">
        <v>100</v>
      </c>
      <c r="F220" s="92"/>
      <c r="G220" s="54"/>
      <c r="H220" s="52">
        <f>'4.pielikums'!B210</f>
        <v>18466</v>
      </c>
      <c r="I220" s="75"/>
    </row>
    <row r="221" spans="1:9" ht="15" customHeight="1">
      <c r="A221" s="56"/>
      <c r="B221" s="72" t="s">
        <v>192</v>
      </c>
      <c r="C221" s="59"/>
      <c r="D221" s="54">
        <f t="shared" si="16"/>
        <v>59282</v>
      </c>
      <c r="E221" s="92">
        <v>2500</v>
      </c>
      <c r="F221" s="92">
        <v>3224</v>
      </c>
      <c r="G221" s="54"/>
      <c r="H221" s="52">
        <f>'4.pielikums'!B211</f>
        <v>65006</v>
      </c>
      <c r="I221" s="75"/>
    </row>
    <row r="222" spans="1:9" ht="15" customHeight="1">
      <c r="A222" s="56"/>
      <c r="B222" s="84" t="s">
        <v>218</v>
      </c>
      <c r="C222" s="64"/>
      <c r="D222" s="54">
        <f t="shared" si="16"/>
        <v>43048</v>
      </c>
      <c r="E222" s="92">
        <v>2897</v>
      </c>
      <c r="F222" s="92">
        <v>1209</v>
      </c>
      <c r="G222" s="54"/>
      <c r="H222" s="52">
        <f>'4.pielikums'!B212</f>
        <v>47154</v>
      </c>
      <c r="I222" s="75"/>
    </row>
    <row r="223" spans="1:9" ht="15" customHeight="1">
      <c r="A223" s="56"/>
      <c r="B223" s="71" t="s">
        <v>209</v>
      </c>
      <c r="C223" s="59"/>
      <c r="D223" s="54">
        <f t="shared" si="16"/>
        <v>34190</v>
      </c>
      <c r="E223" s="92">
        <f>160+765</f>
        <v>925</v>
      </c>
      <c r="F223" s="92">
        <v>403</v>
      </c>
      <c r="G223" s="54"/>
      <c r="H223" s="52">
        <f>'4.pielikums'!B213</f>
        <v>35518</v>
      </c>
      <c r="I223" s="75"/>
    </row>
    <row r="224" spans="1:9" ht="15" customHeight="1">
      <c r="A224" s="56"/>
      <c r="B224" s="84" t="s">
        <v>41</v>
      </c>
      <c r="C224" s="64"/>
      <c r="D224" s="54">
        <f t="shared" si="16"/>
        <v>26276</v>
      </c>
      <c r="E224" s="92">
        <v>600</v>
      </c>
      <c r="F224" s="92">
        <v>1209</v>
      </c>
      <c r="G224" s="54"/>
      <c r="H224" s="52">
        <f>'4.pielikums'!B214</f>
        <v>28085</v>
      </c>
      <c r="I224" s="75"/>
    </row>
    <row r="225" spans="1:9" ht="15" customHeight="1">
      <c r="A225" s="56"/>
      <c r="B225" s="103" t="s">
        <v>157</v>
      </c>
      <c r="C225" s="59"/>
      <c r="D225" s="54">
        <f t="shared" si="16"/>
        <v>101627</v>
      </c>
      <c r="E225" s="92">
        <v>9600</v>
      </c>
      <c r="F225" s="92">
        <v>4030</v>
      </c>
      <c r="G225" s="54"/>
      <c r="H225" s="52">
        <f>'4.pielikums'!B215</f>
        <v>115257</v>
      </c>
      <c r="I225" s="75"/>
    </row>
    <row r="226" spans="1:9" ht="15" customHeight="1">
      <c r="A226" s="56"/>
      <c r="B226" s="103" t="s">
        <v>156</v>
      </c>
      <c r="C226" s="59"/>
      <c r="D226" s="54">
        <f t="shared" si="16"/>
        <v>47152</v>
      </c>
      <c r="E226" s="92">
        <v>3770</v>
      </c>
      <c r="F226" s="92">
        <v>403</v>
      </c>
      <c r="G226" s="54"/>
      <c r="H226" s="52">
        <f>'4.pielikums'!B217</f>
        <v>51325</v>
      </c>
      <c r="I226" s="75"/>
    </row>
    <row r="227" spans="1:9" ht="30" customHeight="1">
      <c r="A227" s="56"/>
      <c r="B227" s="103" t="s">
        <v>160</v>
      </c>
      <c r="C227" s="59"/>
      <c r="D227" s="54">
        <f t="shared" si="16"/>
        <v>30662</v>
      </c>
      <c r="E227" s="92">
        <v>1700</v>
      </c>
      <c r="F227" s="92">
        <v>1612</v>
      </c>
      <c r="G227" s="54"/>
      <c r="H227" s="52">
        <f>'4.pielikums'!B218</f>
        <v>33974</v>
      </c>
      <c r="I227" s="75"/>
    </row>
    <row r="228" spans="1:9" ht="30" customHeight="1">
      <c r="A228" s="56"/>
      <c r="B228" s="103" t="s">
        <v>310</v>
      </c>
      <c r="C228" s="59"/>
      <c r="D228" s="54">
        <f>H228-E228-G228-F228-C228</f>
        <v>80550</v>
      </c>
      <c r="E228" s="92">
        <v>4675</v>
      </c>
      <c r="F228" s="92">
        <v>1612</v>
      </c>
      <c r="G228" s="54"/>
      <c r="H228" s="52">
        <f>'4.pielikums'!B219+'4.pielikums'!B220+'4.pielikums'!B221</f>
        <v>86837</v>
      </c>
      <c r="I228" s="75"/>
    </row>
    <row r="229" spans="1:9" ht="15" customHeight="1">
      <c r="A229" s="15" t="s">
        <v>312</v>
      </c>
      <c r="B229" s="85" t="s">
        <v>313</v>
      </c>
      <c r="C229" s="68">
        <f>SUM(C230:C237)</f>
        <v>112700</v>
      </c>
      <c r="D229" s="68">
        <f>SUM(D230:D237)</f>
        <v>296493</v>
      </c>
      <c r="E229" s="68">
        <f t="shared" si="20" ref="E229">SUM(E230:E237)</f>
        <v>0</v>
      </c>
      <c r="F229" s="68">
        <f>SUM(F230:F246)</f>
        <v>30761</v>
      </c>
      <c r="G229" s="68">
        <f>SUM(G230:G237)</f>
        <v>283341</v>
      </c>
      <c r="H229" s="52">
        <f>SUM(H230:H246)</f>
        <v>723295.23</v>
      </c>
      <c r="I229" s="75"/>
    </row>
    <row r="230" spans="1:9" ht="15" customHeight="1">
      <c r="A230" s="56"/>
      <c r="B230" s="72" t="s">
        <v>179</v>
      </c>
      <c r="C230" s="59"/>
      <c r="D230" s="54">
        <f t="shared" si="16"/>
        <v>56506</v>
      </c>
      <c r="E230" s="92"/>
      <c r="F230" s="92"/>
      <c r="G230" s="54"/>
      <c r="H230" s="52">
        <f>'4.pielikums'!B223</f>
        <v>56506</v>
      </c>
      <c r="I230" s="75"/>
    </row>
    <row r="231" spans="1:9" ht="15" customHeight="1">
      <c r="A231" s="56"/>
      <c r="B231" s="94" t="s">
        <v>180</v>
      </c>
      <c r="C231" s="59"/>
      <c r="D231" s="54">
        <f>H231-E231-G231-F231-C231</f>
        <v>36083</v>
      </c>
      <c r="E231" s="92"/>
      <c r="F231" s="92"/>
      <c r="G231" s="54"/>
      <c r="H231" s="52">
        <f>'4.pielikums'!B224</f>
        <v>36083</v>
      </c>
      <c r="I231" s="75"/>
    </row>
    <row r="232" spans="1:9" ht="30" customHeight="1">
      <c r="A232" s="56"/>
      <c r="B232" s="71" t="s">
        <v>42</v>
      </c>
      <c r="C232" s="59"/>
      <c r="D232" s="54">
        <f t="shared" si="16"/>
        <v>62508</v>
      </c>
      <c r="E232" s="92"/>
      <c r="F232" s="92"/>
      <c r="G232" s="54"/>
      <c r="H232" s="52">
        <f>'4.pielikums'!B225</f>
        <v>62508</v>
      </c>
      <c r="I232" s="75"/>
    </row>
    <row r="233" spans="1:9" ht="45" customHeight="1">
      <c r="A233" s="56"/>
      <c r="B233" s="103" t="s">
        <v>231</v>
      </c>
      <c r="C233" s="59"/>
      <c r="D233" s="54">
        <f t="shared" si="16"/>
        <v>7745</v>
      </c>
      <c r="E233" s="92"/>
      <c r="F233" s="92"/>
      <c r="G233" s="54"/>
      <c r="H233" s="52">
        <f>'4.pielikums'!B222</f>
        <v>7745</v>
      </c>
      <c r="I233" s="75"/>
    </row>
    <row r="234" spans="1:9" ht="33.75" customHeight="1">
      <c r="A234" s="15"/>
      <c r="B234" s="71" t="s">
        <v>241</v>
      </c>
      <c r="C234" s="59"/>
      <c r="D234" s="54">
        <f>H234-E234-G234-F234-C234</f>
        <v>28301</v>
      </c>
      <c r="E234" s="92"/>
      <c r="F234" s="92">
        <v>0</v>
      </c>
      <c r="G234" s="54">
        <v>283341</v>
      </c>
      <c r="H234" s="52">
        <f>'4.pielikums'!B332</f>
        <v>311642</v>
      </c>
      <c r="I234" s="75"/>
    </row>
    <row r="235" spans="1:9" ht="33.75" customHeight="1">
      <c r="A235" s="15"/>
      <c r="B235" s="71" t="s">
        <v>243</v>
      </c>
      <c r="C235" s="59">
        <v>112700</v>
      </c>
      <c r="D235" s="54">
        <f>H235-E235-G235-F235-C235</f>
        <v>75510</v>
      </c>
      <c r="E235" s="92"/>
      <c r="F235" s="92"/>
      <c r="G235" s="54"/>
      <c r="H235" s="52">
        <f>'4.pielikums'!B328</f>
        <v>188210</v>
      </c>
      <c r="I235" s="75"/>
    </row>
    <row r="236" spans="1:9" ht="24.75" customHeight="1">
      <c r="A236" s="15"/>
      <c r="B236" s="71" t="s">
        <v>783</v>
      </c>
      <c r="C236" s="59"/>
      <c r="D236" s="54">
        <f>H236-E236-G236-F236-C236</f>
        <v>21130</v>
      </c>
      <c r="E236" s="54"/>
      <c r="F236" s="54"/>
      <c r="G236" s="54"/>
      <c r="H236" s="52">
        <f>'4.pielikums'!B339</f>
        <v>21130</v>
      </c>
      <c r="I236" s="75"/>
    </row>
    <row r="237" spans="1:9" ht="30" customHeight="1">
      <c r="A237" s="15"/>
      <c r="B237" s="71" t="s">
        <v>765</v>
      </c>
      <c r="C237" s="59"/>
      <c r="D237" s="54">
        <f>H237-E237-G237-F237-C237</f>
        <v>8710</v>
      </c>
      <c r="E237" s="54"/>
      <c r="F237" s="54">
        <v>3500</v>
      </c>
      <c r="G237" s="54"/>
      <c r="H237" s="52">
        <f>'4.pielikums'!B337</f>
        <v>12210</v>
      </c>
      <c r="I237" s="75"/>
    </row>
    <row r="238" spans="1:9" ht="54.75" customHeight="1">
      <c r="A238" s="15"/>
      <c r="B238" s="217" t="s">
        <v>848</v>
      </c>
      <c r="C238" s="59"/>
      <c r="D238" s="54">
        <f t="shared" si="21" ref="D238">H238-E238-G238-F238-C238</f>
        <v>0</v>
      </c>
      <c r="E238" s="54"/>
      <c r="F238" s="54">
        <v>3500</v>
      </c>
      <c r="G238" s="54"/>
      <c r="H238" s="52">
        <f>'4.pielikums'!B342</f>
        <v>3500</v>
      </c>
      <c r="I238" s="75"/>
    </row>
    <row r="239" spans="1:9" ht="37.5" customHeight="1">
      <c r="A239" s="15"/>
      <c r="B239" s="71" t="s">
        <v>849</v>
      </c>
      <c r="C239" s="59"/>
      <c r="D239" s="54">
        <f>H239-E239-G239-F239-C239</f>
        <v>0</v>
      </c>
      <c r="E239" s="54"/>
      <c r="F239" s="54">
        <v>2000</v>
      </c>
      <c r="G239" s="54"/>
      <c r="H239" s="52">
        <f>'4.pielikums'!B343</f>
        <v>2000</v>
      </c>
      <c r="I239" s="75"/>
    </row>
    <row r="240" spans="1:9" ht="37.5" customHeight="1">
      <c r="A240" s="15"/>
      <c r="B240" s="71" t="s">
        <v>854</v>
      </c>
      <c r="C240" s="59"/>
      <c r="D240" s="54">
        <f t="shared" si="22" ref="D240:D246">H240-E240-G240-F240-C240</f>
        <v>0</v>
      </c>
      <c r="E240" s="54"/>
      <c r="F240" s="54">
        <v>2400</v>
      </c>
      <c r="G240" s="54"/>
      <c r="H240" s="52">
        <f>'4.pielikums'!B344</f>
        <v>2400</v>
      </c>
      <c r="I240" s="75"/>
    </row>
    <row r="241" spans="1:9" ht="37.5" customHeight="1">
      <c r="A241" s="15"/>
      <c r="B241" s="71" t="s">
        <v>852</v>
      </c>
      <c r="C241" s="59"/>
      <c r="D241" s="54">
        <f t="shared" si="22"/>
        <v>0</v>
      </c>
      <c r="E241" s="54"/>
      <c r="F241" s="54">
        <v>2000</v>
      </c>
      <c r="G241" s="54"/>
      <c r="H241" s="52">
        <f>'4.pielikums'!B345</f>
        <v>2000</v>
      </c>
      <c r="I241" s="75"/>
    </row>
    <row r="242" spans="1:9" ht="37.5" customHeight="1">
      <c r="A242" s="15"/>
      <c r="B242" s="71" t="s">
        <v>853</v>
      </c>
      <c r="C242" s="59"/>
      <c r="D242" s="54">
        <f t="shared" si="22"/>
        <v>0</v>
      </c>
      <c r="E242" s="54"/>
      <c r="F242" s="54">
        <v>1000</v>
      </c>
      <c r="G242" s="54"/>
      <c r="H242" s="52">
        <f>'4.pielikums'!B346</f>
        <v>1000</v>
      </c>
      <c r="I242" s="75"/>
    </row>
    <row r="243" spans="1:9" ht="37.5" customHeight="1">
      <c r="A243" s="15"/>
      <c r="B243" s="71" t="s">
        <v>860</v>
      </c>
      <c r="C243" s="59"/>
      <c r="D243" s="54">
        <f t="shared" si="22"/>
        <v>0</v>
      </c>
      <c r="E243" s="54"/>
      <c r="F243" s="54">
        <v>400</v>
      </c>
      <c r="G243" s="54"/>
      <c r="H243" s="252">
        <f>'4.pielikums'!B347</f>
        <v>400</v>
      </c>
      <c r="I243" s="75"/>
    </row>
    <row r="244" spans="1:9" ht="37.5" customHeight="1">
      <c r="A244" s="15"/>
      <c r="B244" s="71" t="s">
        <v>855</v>
      </c>
      <c r="C244" s="59"/>
      <c r="D244" s="54">
        <f t="shared" si="22"/>
        <v>0</v>
      </c>
      <c r="E244" s="54"/>
      <c r="F244" s="54">
        <v>5300</v>
      </c>
      <c r="G244" s="54"/>
      <c r="H244" s="52">
        <f>'4.pielikums'!B348</f>
        <v>5300</v>
      </c>
      <c r="I244" s="75"/>
    </row>
    <row r="245" spans="1:9" ht="56.25" customHeight="1">
      <c r="A245" s="15"/>
      <c r="B245" s="71" t="s">
        <v>856</v>
      </c>
      <c r="C245" s="59"/>
      <c r="D245" s="54">
        <f t="shared" si="22"/>
        <v>0</v>
      </c>
      <c r="E245" s="54"/>
      <c r="F245" s="54">
        <v>10000</v>
      </c>
      <c r="G245" s="54"/>
      <c r="H245" s="52">
        <f>'4.pielikums'!B349</f>
        <v>10000</v>
      </c>
      <c r="I245" s="75"/>
    </row>
    <row r="246" spans="1:9" ht="18.75" customHeight="1">
      <c r="A246" s="15"/>
      <c r="B246" s="71" t="s">
        <v>872</v>
      </c>
      <c r="C246" s="59"/>
      <c r="D246" s="54">
        <f t="shared" si="22"/>
        <v>0.23000000000001819</v>
      </c>
      <c r="E246" s="54"/>
      <c r="F246" s="54">
        <v>661</v>
      </c>
      <c r="G246" s="54"/>
      <c r="H246" s="52">
        <f>'4.pielikums'!B351</f>
        <v>661.23</v>
      </c>
      <c r="I246" s="75"/>
    </row>
    <row r="247" spans="1:10" ht="15" customHeight="1">
      <c r="A247" s="15" t="s">
        <v>314</v>
      </c>
      <c r="B247" s="83" t="s">
        <v>315</v>
      </c>
      <c r="C247" s="63">
        <f t="shared" si="23" ref="C247:G247">C248+C256+C267+C275+C283+C285</f>
        <v>92019</v>
      </c>
      <c r="D247" s="63">
        <f>D248+D256+D267+D275+D283+D285</f>
        <v>8579292.9800000004</v>
      </c>
      <c r="E247" s="63">
        <f t="shared" si="23"/>
        <v>678603</v>
      </c>
      <c r="F247" s="63">
        <f>F248+F256+F267+F275+F283+F285</f>
        <v>5598316</v>
      </c>
      <c r="G247" s="63">
        <f t="shared" si="23"/>
        <v>0</v>
      </c>
      <c r="H247" s="52">
        <f>H248+H256+H267+H275+H283+H285</f>
        <v>14989108.98</v>
      </c>
      <c r="I247" s="75"/>
      <c r="J247" s="75"/>
    </row>
    <row r="248" spans="1:9" ht="15" customHeight="1">
      <c r="A248" s="15"/>
      <c r="B248" s="83" t="s">
        <v>316</v>
      </c>
      <c r="C248" s="63">
        <f>SUM(C249:C254)</f>
        <v>0</v>
      </c>
      <c r="D248" s="63">
        <f t="shared" si="24" ref="D248:G248">SUM(D249:D254)</f>
        <v>1799599</v>
      </c>
      <c r="E248" s="63">
        <f t="shared" si="24"/>
        <v>414194</v>
      </c>
      <c r="F248" s="63">
        <f>SUM(F249:F254)</f>
        <v>429249</v>
      </c>
      <c r="G248" s="63">
        <f t="shared" si="24"/>
        <v>0</v>
      </c>
      <c r="H248" s="52">
        <f>SUM(H249:H254)</f>
        <v>2643042</v>
      </c>
      <c r="I248" s="75"/>
    </row>
    <row r="249" spans="1:9" ht="15" customHeight="1">
      <c r="A249" s="56"/>
      <c r="B249" s="84" t="s">
        <v>43</v>
      </c>
      <c r="C249" s="64"/>
      <c r="D249" s="54">
        <f t="shared" si="25" ref="D249:D254">H249-E249-G249-F249-C249</f>
        <v>544705</v>
      </c>
      <c r="E249" s="54">
        <f>41200+223168</f>
        <v>264368</v>
      </c>
      <c r="F249" s="54">
        <f>223168+3429+893+6896</f>
        <v>234386</v>
      </c>
      <c r="G249" s="54"/>
      <c r="H249" s="52">
        <f>'4.pielikums'!B226</f>
        <v>1043459</v>
      </c>
      <c r="I249" s="75"/>
    </row>
    <row r="250" spans="1:9" ht="15" customHeight="1">
      <c r="A250" s="56"/>
      <c r="B250" s="84" t="s">
        <v>44</v>
      </c>
      <c r="C250" s="64"/>
      <c r="D250" s="54">
        <f t="shared" si="25"/>
        <v>482255</v>
      </c>
      <c r="E250" s="54">
        <f>25000+81680</f>
        <v>106680</v>
      </c>
      <c r="F250" s="54">
        <f>81680+2030+1294</f>
        <v>85004</v>
      </c>
      <c r="G250" s="54"/>
      <c r="H250" s="52">
        <f>'4.pielikums'!B228</f>
        <v>673939</v>
      </c>
      <c r="I250" s="75"/>
    </row>
    <row r="251" spans="1:9" ht="15" customHeight="1">
      <c r="A251" s="56"/>
      <c r="B251" s="84" t="s">
        <v>45</v>
      </c>
      <c r="C251" s="64"/>
      <c r="D251" s="54">
        <f t="shared" si="25"/>
        <v>97798</v>
      </c>
      <c r="E251" s="92">
        <f>3700+12320</f>
        <v>16020</v>
      </c>
      <c r="F251" s="92">
        <f>12320+210</f>
        <v>12530</v>
      </c>
      <c r="G251" s="54"/>
      <c r="H251" s="52">
        <f>'4.pielikums'!B230</f>
        <v>126348</v>
      </c>
      <c r="I251" s="75"/>
    </row>
    <row r="252" spans="1:9" ht="15" customHeight="1">
      <c r="A252" s="56"/>
      <c r="B252" s="84" t="s">
        <v>46</v>
      </c>
      <c r="C252" s="64"/>
      <c r="D252" s="54">
        <f t="shared" si="25"/>
        <v>299482</v>
      </c>
      <c r="E252" s="92">
        <f>12551+1875</f>
        <v>14426</v>
      </c>
      <c r="F252" s="92">
        <f>36616+910</f>
        <v>37526</v>
      </c>
      <c r="G252" s="54"/>
      <c r="H252" s="52">
        <f>'4.pielikums'!B232</f>
        <v>351434</v>
      </c>
      <c r="I252" s="75"/>
    </row>
    <row r="253" spans="1:9" ht="30" customHeight="1">
      <c r="A253" s="56"/>
      <c r="B253" s="103" t="s">
        <v>166</v>
      </c>
      <c r="C253" s="59"/>
      <c r="D253" s="54">
        <f t="shared" si="25"/>
        <v>243292</v>
      </c>
      <c r="E253" s="92">
        <v>8300</v>
      </c>
      <c r="F253" s="92">
        <f>41499+980</f>
        <v>42479</v>
      </c>
      <c r="G253" s="54"/>
      <c r="H253" s="52">
        <f>'4.pielikums'!B234</f>
        <v>294071</v>
      </c>
      <c r="I253" s="75"/>
    </row>
    <row r="254" spans="1:9" ht="30" customHeight="1">
      <c r="A254" s="56"/>
      <c r="B254" s="103" t="s">
        <v>167</v>
      </c>
      <c r="C254" s="59"/>
      <c r="D254" s="54">
        <f t="shared" si="25"/>
        <v>132067</v>
      </c>
      <c r="E254" s="92">
        <f>3850+550</f>
        <v>4400</v>
      </c>
      <c r="F254" s="92">
        <f>16904+420</f>
        <v>17324</v>
      </c>
      <c r="G254" s="54"/>
      <c r="H254" s="52">
        <f>'4.pielikums'!B236</f>
        <v>153791</v>
      </c>
      <c r="I254" s="75"/>
    </row>
    <row r="255" spans="1:9" ht="31.5">
      <c r="A255" s="15"/>
      <c r="B255" s="109" t="s">
        <v>317</v>
      </c>
      <c r="C255" s="62"/>
      <c r="D255" s="54"/>
      <c r="E255" s="92"/>
      <c r="F255" s="92"/>
      <c r="G255" s="54"/>
      <c r="H255" s="52"/>
      <c r="I255" s="75"/>
    </row>
    <row r="256" spans="1:9" ht="15" customHeight="1">
      <c r="A256" s="15"/>
      <c r="B256" s="83" t="s">
        <v>318</v>
      </c>
      <c r="C256" s="63">
        <f>SUM(C257:C266)</f>
        <v>0</v>
      </c>
      <c r="D256" s="63">
        <f t="shared" si="26" ref="D256:G256">SUM(D257:D266)</f>
        <v>2241269</v>
      </c>
      <c r="E256" s="63">
        <f>SUM(E257:E266)</f>
        <v>56950</v>
      </c>
      <c r="F256" s="128">
        <f>SUM(F257:F266)</f>
        <v>1975833</v>
      </c>
      <c r="G256" s="63">
        <f t="shared" si="26"/>
        <v>0</v>
      </c>
      <c r="H256" s="52">
        <f>SUM(H257:H266)</f>
        <v>4274052</v>
      </c>
      <c r="I256" s="75"/>
    </row>
    <row r="257" spans="1:9" ht="15" customHeight="1">
      <c r="A257" s="56"/>
      <c r="B257" s="84" t="s">
        <v>83</v>
      </c>
      <c r="C257" s="64"/>
      <c r="D257" s="54">
        <f t="shared" si="27" ref="D257:D323">H257-E257-G257-F257-C257</f>
        <v>481014</v>
      </c>
      <c r="E257" s="92">
        <f>1332+6047</f>
        <v>7379</v>
      </c>
      <c r="F257" s="99">
        <f>17416+657336+81018+16271+552+1930</f>
        <v>774523</v>
      </c>
      <c r="G257" s="54"/>
      <c r="H257" s="52">
        <f>'4.pielikums'!B237</f>
        <v>1262916</v>
      </c>
      <c r="I257" s="251"/>
    </row>
    <row r="258" spans="1:9" ht="15" customHeight="1">
      <c r="A258" s="56"/>
      <c r="B258" s="84" t="s">
        <v>174</v>
      </c>
      <c r="C258" s="64"/>
      <c r="D258" s="54">
        <f t="shared" si="27"/>
        <v>344139</v>
      </c>
      <c r="E258" s="92">
        <v>17074</v>
      </c>
      <c r="F258" s="92">
        <f>6605+105784+6096+16904+2309+3900+1810</f>
        <v>143408</v>
      </c>
      <c r="G258" s="54"/>
      <c r="H258" s="52">
        <f>'4.pielikums'!B239</f>
        <v>504621</v>
      </c>
      <c r="I258" s="75"/>
    </row>
    <row r="259" spans="1:9" ht="30" customHeight="1">
      <c r="A259" s="56"/>
      <c r="B259" s="94" t="s">
        <v>320</v>
      </c>
      <c r="C259" s="91"/>
      <c r="D259" s="92">
        <f t="shared" si="27"/>
        <v>27584</v>
      </c>
      <c r="E259" s="92">
        <v>100</v>
      </c>
      <c r="F259" s="92"/>
      <c r="G259" s="92"/>
      <c r="H259" s="52">
        <f>'4.pielikums'!B241</f>
        <v>27684</v>
      </c>
      <c r="I259" s="75"/>
    </row>
    <row r="260" spans="1:9" ht="15" customHeight="1">
      <c r="A260" s="56"/>
      <c r="B260" s="84" t="s">
        <v>319</v>
      </c>
      <c r="C260" s="64"/>
      <c r="D260" s="54">
        <f t="shared" si="27"/>
        <v>220358</v>
      </c>
      <c r="E260" s="92">
        <v>7050</v>
      </c>
      <c r="F260" s="99">
        <f>5509+10912+214456+2176+55171+5509+2344+3900</f>
        <v>299977</v>
      </c>
      <c r="G260" s="54"/>
      <c r="H260" s="52">
        <f>'4.pielikums'!B242</f>
        <v>527385</v>
      </c>
      <c r="I260" s="75"/>
    </row>
    <row r="261" spans="1:9" ht="15" customHeight="1">
      <c r="A261" s="56"/>
      <c r="B261" s="84" t="s">
        <v>47</v>
      </c>
      <c r="C261" s="64"/>
      <c r="D261" s="54">
        <f t="shared" si="27"/>
        <v>203602</v>
      </c>
      <c r="E261" s="92">
        <f>2574</f>
        <v>2574</v>
      </c>
      <c r="F261" s="92">
        <f>6341+4352+189800+2030</f>
        <v>202523</v>
      </c>
      <c r="G261" s="54"/>
      <c r="H261" s="52">
        <f>'4.pielikums'!B244</f>
        <v>408699</v>
      </c>
      <c r="I261" s="75"/>
    </row>
    <row r="262" spans="1:9" ht="15" customHeight="1">
      <c r="A262" s="56"/>
      <c r="B262" s="84" t="s">
        <v>236</v>
      </c>
      <c r="C262" s="64"/>
      <c r="D262" s="54">
        <f t="shared" si="27"/>
        <v>282742</v>
      </c>
      <c r="E262" s="92">
        <v>7988</v>
      </c>
      <c r="F262" s="92">
        <f>27585+10016+299232+11812+18304+7512+3989</f>
        <v>378450</v>
      </c>
      <c r="G262" s="54"/>
      <c r="H262" s="52">
        <f>'4.pielikums'!B246</f>
        <v>669180</v>
      </c>
      <c r="I262" s="75"/>
    </row>
    <row r="263" spans="1:9" ht="30" customHeight="1">
      <c r="A263" s="56"/>
      <c r="B263" s="72" t="s">
        <v>238</v>
      </c>
      <c r="C263" s="59"/>
      <c r="D263" s="54">
        <f t="shared" si="27"/>
        <v>143332</v>
      </c>
      <c r="E263" s="92">
        <v>7556</v>
      </c>
      <c r="F263" s="92"/>
      <c r="G263" s="54"/>
      <c r="H263" s="52">
        <f>'4.pielikums'!B248</f>
        <v>150888</v>
      </c>
      <c r="I263" s="75"/>
    </row>
    <row r="264" spans="1:9" ht="30" customHeight="1">
      <c r="A264" s="56"/>
      <c r="B264" s="72" t="s">
        <v>237</v>
      </c>
      <c r="C264" s="59"/>
      <c r="D264" s="54">
        <f t="shared" si="27"/>
        <v>108097</v>
      </c>
      <c r="E264" s="92">
        <f>2819+500</f>
        <v>3319</v>
      </c>
      <c r="F264" s="92"/>
      <c r="G264" s="54"/>
      <c r="H264" s="52">
        <f>'4.pielikums'!B249</f>
        <v>111416</v>
      </c>
      <c r="I264" s="75"/>
    </row>
    <row r="265" spans="1:9" ht="15" customHeight="1">
      <c r="A265" s="56"/>
      <c r="B265" s="103" t="s">
        <v>164</v>
      </c>
      <c r="C265" s="59"/>
      <c r="D265" s="54">
        <f t="shared" si="27"/>
        <v>297671</v>
      </c>
      <c r="E265" s="92">
        <v>2650</v>
      </c>
      <c r="F265" s="92">
        <f>2446+159280+4792+5640+2869</f>
        <v>175027</v>
      </c>
      <c r="G265" s="54"/>
      <c r="H265" s="52">
        <f>'4.pielikums'!B250</f>
        <v>475348</v>
      </c>
      <c r="I265" s="75"/>
    </row>
    <row r="266" spans="1:9" ht="15" customHeight="1">
      <c r="A266" s="56"/>
      <c r="B266" s="84" t="s">
        <v>261</v>
      </c>
      <c r="C266" s="64"/>
      <c r="D266" s="54">
        <f t="shared" si="27"/>
        <v>132730</v>
      </c>
      <c r="E266" s="92">
        <f>1150+110</f>
        <v>1260</v>
      </c>
      <c r="F266" s="92">
        <v>1925</v>
      </c>
      <c r="G266" s="54"/>
      <c r="H266" s="52">
        <f>'4.pielikums'!B251</f>
        <v>135915</v>
      </c>
      <c r="I266" s="75"/>
    </row>
    <row r="267" spans="1:9" ht="15" customHeight="1">
      <c r="A267" s="15"/>
      <c r="B267" s="83" t="s">
        <v>321</v>
      </c>
      <c r="C267" s="63">
        <f>SUM(C268:C274)</f>
        <v>0</v>
      </c>
      <c r="D267" s="63">
        <f t="shared" si="28" ref="D267:G267">SUM(D268:D274)</f>
        <v>2439930</v>
      </c>
      <c r="E267" s="63">
        <f t="shared" si="28"/>
        <v>96278</v>
      </c>
      <c r="F267" s="128">
        <f>SUM(F268:F274)</f>
        <v>2095639</v>
      </c>
      <c r="G267" s="63">
        <f t="shared" si="28"/>
        <v>0</v>
      </c>
      <c r="H267" s="52">
        <f>SUM(H268:H274)</f>
        <v>4631847</v>
      </c>
      <c r="I267" s="75"/>
    </row>
    <row r="268" spans="1:9" ht="15" customHeight="1">
      <c r="A268" s="56"/>
      <c r="B268" s="84" t="s">
        <v>48</v>
      </c>
      <c r="C268" s="64"/>
      <c r="D268" s="54">
        <f t="shared" si="27"/>
        <v>467566</v>
      </c>
      <c r="E268" s="92">
        <v>18072</v>
      </c>
      <c r="F268" s="92">
        <f>10448+503312+9098+5273</f>
        <v>528131</v>
      </c>
      <c r="G268" s="54"/>
      <c r="H268" s="52">
        <f>'4.pielikums'!B252</f>
        <v>1013769</v>
      </c>
      <c r="I268" s="75"/>
    </row>
    <row r="269" spans="1:9" ht="15" customHeight="1">
      <c r="A269" s="56"/>
      <c r="B269" s="84" t="s">
        <v>743</v>
      </c>
      <c r="C269" s="64"/>
      <c r="D269" s="54">
        <f t="shared" si="27"/>
        <v>337405</v>
      </c>
      <c r="E269" s="92">
        <v>8540</v>
      </c>
      <c r="F269" s="92">
        <f>11842+10448+259112+5249+3900</f>
        <v>290551</v>
      </c>
      <c r="G269" s="54"/>
      <c r="H269" s="52">
        <f>'4.pielikums'!B254</f>
        <v>636496</v>
      </c>
      <c r="I269" s="75"/>
    </row>
    <row r="270" spans="1:9" ht="30" customHeight="1">
      <c r="A270" s="56"/>
      <c r="B270" s="72" t="s">
        <v>322</v>
      </c>
      <c r="C270" s="59"/>
      <c r="D270" s="54">
        <f t="shared" si="27"/>
        <v>461010</v>
      </c>
      <c r="E270" s="92">
        <v>9950</v>
      </c>
      <c r="F270" s="92">
        <f>10880+277968+182000+5459+2128+1188</f>
        <v>479623</v>
      </c>
      <c r="G270" s="54"/>
      <c r="H270" s="52">
        <f>'4.pielikums'!B256</f>
        <v>950583</v>
      </c>
      <c r="I270" s="251"/>
    </row>
    <row r="271" spans="1:9" ht="30" customHeight="1">
      <c r="A271" s="56"/>
      <c r="B271" s="72" t="s">
        <v>722</v>
      </c>
      <c r="C271" s="59"/>
      <c r="D271" s="54">
        <f t="shared" si="27"/>
        <v>85447</v>
      </c>
      <c r="E271" s="92">
        <v>16000</v>
      </c>
      <c r="F271" s="92">
        <v>3000</v>
      </c>
      <c r="G271" s="54"/>
      <c r="H271" s="52">
        <f>'4.pielikums'!B258</f>
        <v>104447</v>
      </c>
      <c r="I271" s="251"/>
    </row>
    <row r="272" spans="1:9" ht="15" customHeight="1">
      <c r="A272" s="56"/>
      <c r="B272" s="72" t="s">
        <v>171</v>
      </c>
      <c r="C272" s="59"/>
      <c r="D272" s="54">
        <f t="shared" si="27"/>
        <v>216137</v>
      </c>
      <c r="E272" s="92">
        <f>1700+2500</f>
        <v>4200</v>
      </c>
      <c r="F272" s="92">
        <f>9472+30984+10016+170680+4339+3900</f>
        <v>229391</v>
      </c>
      <c r="G272" s="54"/>
      <c r="H272" s="52">
        <f>'4.pielikums'!B259</f>
        <v>449728</v>
      </c>
      <c r="I272" s="251"/>
    </row>
    <row r="273" spans="1:9" ht="15" customHeight="1">
      <c r="A273" s="56"/>
      <c r="B273" s="72" t="s">
        <v>163</v>
      </c>
      <c r="C273" s="59"/>
      <c r="D273" s="54">
        <f t="shared" si="27"/>
        <v>415420</v>
      </c>
      <c r="E273" s="92">
        <f>4100+2201+1560+5440</f>
        <v>13301</v>
      </c>
      <c r="F273" s="92">
        <f>9698+38920+171656+6968+4409+3900+1434+5550+149</f>
        <v>242684</v>
      </c>
      <c r="G273" s="54"/>
      <c r="H273" s="52">
        <f>'4.pielikums'!B261</f>
        <v>671405</v>
      </c>
      <c r="I273" s="251"/>
    </row>
    <row r="274" spans="1:9" ht="15" customHeight="1">
      <c r="A274" s="56"/>
      <c r="B274" s="72" t="s">
        <v>176</v>
      </c>
      <c r="C274" s="59"/>
      <c r="D274" s="54">
        <f t="shared" si="27"/>
        <v>456945</v>
      </c>
      <c r="E274" s="99">
        <f>10540+15675</f>
        <v>26215</v>
      </c>
      <c r="F274" s="92">
        <f>12596+9144+242440+47880+6299+3900</f>
        <v>322259</v>
      </c>
      <c r="G274" s="54"/>
      <c r="H274" s="52">
        <f>'4.pielikums'!B263</f>
        <v>805419</v>
      </c>
      <c r="I274" s="75"/>
    </row>
    <row r="275" spans="1:9" ht="30" customHeight="1">
      <c r="A275" s="69"/>
      <c r="B275" s="109" t="s">
        <v>323</v>
      </c>
      <c r="C275" s="63">
        <f>SUM(C276:C282)</f>
        <v>0</v>
      </c>
      <c r="D275" s="63">
        <f t="shared" si="29" ref="D275:G275">SUM(D276:D282)</f>
        <v>1107962</v>
      </c>
      <c r="E275" s="63">
        <f t="shared" si="29"/>
        <v>104781</v>
      </c>
      <c r="F275" s="128">
        <f>SUM(F276:F282)</f>
        <v>967524</v>
      </c>
      <c r="G275" s="63">
        <f t="shared" si="29"/>
        <v>0</v>
      </c>
      <c r="H275" s="52">
        <f>SUM(H276:H282)</f>
        <v>2180267</v>
      </c>
      <c r="I275" s="75"/>
    </row>
    <row r="276" spans="1:9" ht="15" customHeight="1">
      <c r="A276" s="56"/>
      <c r="B276" s="84" t="s">
        <v>49</v>
      </c>
      <c r="C276" s="64"/>
      <c r="D276" s="54">
        <f t="shared" si="27"/>
        <v>164804</v>
      </c>
      <c r="E276" s="92">
        <v>10454</v>
      </c>
      <c r="F276" s="92">
        <f>336467+6528</f>
        <v>342995</v>
      </c>
      <c r="G276" s="54"/>
      <c r="H276" s="52">
        <f>'4.pielikums'!B265</f>
        <v>518253</v>
      </c>
      <c r="I276" s="75"/>
    </row>
    <row r="277" spans="1:9" ht="15" customHeight="1">
      <c r="A277" s="56"/>
      <c r="B277" s="84" t="s">
        <v>50</v>
      </c>
      <c r="C277" s="64"/>
      <c r="D277" s="54">
        <f t="shared" si="27"/>
        <v>148383</v>
      </c>
      <c r="E277" s="92">
        <v>8020</v>
      </c>
      <c r="F277" s="92">
        <f>38727+2616</f>
        <v>41343</v>
      </c>
      <c r="G277" s="54"/>
      <c r="H277" s="52">
        <f>'4.pielikums'!B267</f>
        <v>197746</v>
      </c>
      <c r="I277" s="75"/>
    </row>
    <row r="278" spans="1:9" ht="15" customHeight="1">
      <c r="A278" s="56"/>
      <c r="B278" s="71" t="s">
        <v>170</v>
      </c>
      <c r="C278" s="59"/>
      <c r="D278" s="54">
        <f t="shared" si="27"/>
        <v>107184</v>
      </c>
      <c r="E278" s="92">
        <v>1775</v>
      </c>
      <c r="F278" s="92">
        <f>432+63129</f>
        <v>63561</v>
      </c>
      <c r="G278" s="54"/>
      <c r="H278" s="52">
        <f>'4.pielikums'!B269</f>
        <v>172520</v>
      </c>
      <c r="I278" s="75"/>
    </row>
    <row r="279" spans="1:9" ht="15" customHeight="1">
      <c r="A279" s="56"/>
      <c r="B279" s="103" t="s">
        <v>162</v>
      </c>
      <c r="C279" s="59"/>
      <c r="D279" s="54">
        <f t="shared" si="27"/>
        <v>44020</v>
      </c>
      <c r="E279" s="92">
        <f>4100+396</f>
        <v>4496</v>
      </c>
      <c r="F279" s="92">
        <f>99734+1744</f>
        <v>101478</v>
      </c>
      <c r="G279" s="54"/>
      <c r="H279" s="52">
        <f>'4.pielikums'!B270</f>
        <v>149994</v>
      </c>
      <c r="I279" s="75"/>
    </row>
    <row r="280" spans="1:9" ht="15" customHeight="1">
      <c r="A280" s="56"/>
      <c r="B280" s="84" t="s">
        <v>51</v>
      </c>
      <c r="C280" s="64"/>
      <c r="D280" s="54">
        <f t="shared" si="27"/>
        <v>267379</v>
      </c>
      <c r="E280" s="92">
        <v>300</v>
      </c>
      <c r="F280" s="99">
        <f>374372+7960</f>
        <v>382332</v>
      </c>
      <c r="G280" s="54"/>
      <c r="H280" s="52">
        <f>'4.pielikums'!B271</f>
        <v>650011</v>
      </c>
      <c r="I280" s="75"/>
    </row>
    <row r="281" spans="1:9" ht="15" customHeight="1">
      <c r="A281" s="56"/>
      <c r="B281" s="84" t="s">
        <v>324</v>
      </c>
      <c r="C281" s="64"/>
      <c r="D281" s="54">
        <f t="shared" si="27"/>
        <v>146863</v>
      </c>
      <c r="E281" s="92">
        <v>77384</v>
      </c>
      <c r="F281" s="93"/>
      <c r="G281" s="54"/>
      <c r="H281" s="52">
        <f>'4.pielikums'!B272</f>
        <v>224247</v>
      </c>
      <c r="I281" s="75"/>
    </row>
    <row r="282" spans="1:9" ht="15" customHeight="1">
      <c r="A282" s="56"/>
      <c r="B282" s="84" t="s">
        <v>325</v>
      </c>
      <c r="C282" s="64"/>
      <c r="D282" s="54">
        <f t="shared" si="27"/>
        <v>229329</v>
      </c>
      <c r="E282" s="54">
        <v>2352</v>
      </c>
      <c r="F282" s="54">
        <v>35815</v>
      </c>
      <c r="G282" s="54"/>
      <c r="H282" s="52">
        <f>'4.pielikums'!B273</f>
        <v>267496</v>
      </c>
      <c r="I282" s="75"/>
    </row>
    <row r="283" spans="1:9" ht="15" customHeight="1">
      <c r="A283" s="15"/>
      <c r="B283" s="109" t="s">
        <v>326</v>
      </c>
      <c r="C283" s="63">
        <f t="shared" si="30" ref="C283:G283">C284</f>
        <v>0</v>
      </c>
      <c r="D283" s="63">
        <f t="shared" si="30"/>
        <v>245793</v>
      </c>
      <c r="E283" s="63">
        <f t="shared" si="30"/>
        <v>0</v>
      </c>
      <c r="F283" s="63">
        <f t="shared" si="30"/>
        <v>0</v>
      </c>
      <c r="G283" s="63">
        <f t="shared" si="30"/>
        <v>0</v>
      </c>
      <c r="H283" s="52">
        <f>H284</f>
        <v>245793</v>
      </c>
      <c r="I283" s="75"/>
    </row>
    <row r="284" spans="1:9" ht="15" customHeight="1">
      <c r="A284" s="60"/>
      <c r="B284" s="71" t="s">
        <v>169</v>
      </c>
      <c r="C284" s="59"/>
      <c r="D284" s="54">
        <f t="shared" si="27"/>
        <v>245793</v>
      </c>
      <c r="E284" s="54"/>
      <c r="F284" s="54"/>
      <c r="G284" s="54"/>
      <c r="H284" s="52">
        <f>'4.pielikums'!B274</f>
        <v>245793</v>
      </c>
      <c r="I284" s="75"/>
    </row>
    <row r="285" spans="1:9" ht="30" customHeight="1">
      <c r="A285" s="67"/>
      <c r="B285" s="109" t="s">
        <v>327</v>
      </c>
      <c r="C285" s="63">
        <f>SUM(C286:C311)</f>
        <v>92019</v>
      </c>
      <c r="D285" s="63">
        <f>SUM(D286:D314)</f>
        <v>744739.98</v>
      </c>
      <c r="E285" s="63">
        <f>SUM(E286:E311)</f>
        <v>6400</v>
      </c>
      <c r="F285" s="63">
        <f>SUM(F286:F314)</f>
        <v>130071</v>
      </c>
      <c r="G285" s="63">
        <f>SUM(G286:G311)</f>
        <v>0</v>
      </c>
      <c r="H285" s="52">
        <f>SUM(H286:H318)</f>
        <v>1014107.98</v>
      </c>
      <c r="I285" s="75"/>
    </row>
    <row r="286" spans="1:9" ht="15" customHeight="1">
      <c r="A286" s="55"/>
      <c r="B286" s="94" t="s">
        <v>178</v>
      </c>
      <c r="C286" s="58"/>
      <c r="D286" s="54">
        <f t="shared" si="27"/>
        <v>51980</v>
      </c>
      <c r="E286" s="54">
        <f>5000</f>
        <v>5000</v>
      </c>
      <c r="F286" s="54"/>
      <c r="G286" s="54"/>
      <c r="H286" s="52">
        <f>'4.pielikums'!B275</f>
        <v>56980</v>
      </c>
      <c r="I286" s="75"/>
    </row>
    <row r="287" spans="1:9" ht="15" customHeight="1">
      <c r="A287" s="56"/>
      <c r="B287" s="103" t="s">
        <v>67</v>
      </c>
      <c r="C287" s="58"/>
      <c r="D287" s="54">
        <f>H287-E287-G287-F287-C287</f>
        <v>0</v>
      </c>
      <c r="E287" s="54"/>
      <c r="F287" s="92">
        <v>48689</v>
      </c>
      <c r="G287" s="54"/>
      <c r="H287" s="52">
        <f>'4.pielikums'!B276</f>
        <v>48689</v>
      </c>
      <c r="I287" s="75"/>
    </row>
    <row r="288" spans="1:9" ht="15" customHeight="1">
      <c r="A288" s="56"/>
      <c r="B288" s="102" t="s">
        <v>211</v>
      </c>
      <c r="C288" s="58"/>
      <c r="D288" s="54">
        <f t="shared" si="27"/>
        <v>19080</v>
      </c>
      <c r="E288" s="54"/>
      <c r="F288" s="54"/>
      <c r="G288" s="54"/>
      <c r="H288" s="52">
        <f>'4.pielikums'!B277</f>
        <v>19080</v>
      </c>
      <c r="I288" s="75"/>
    </row>
    <row r="289" spans="1:9" ht="30" customHeight="1">
      <c r="A289" s="56"/>
      <c r="B289" s="110" t="s">
        <v>196</v>
      </c>
      <c r="C289" s="58"/>
      <c r="D289" s="54">
        <f t="shared" si="27"/>
        <v>20934</v>
      </c>
      <c r="E289" s="54"/>
      <c r="F289" s="54"/>
      <c r="G289" s="54"/>
      <c r="H289" s="52">
        <f>'4.pielikums'!B278</f>
        <v>20934</v>
      </c>
      <c r="I289" s="75"/>
    </row>
    <row r="290" spans="1:9" ht="15" customHeight="1">
      <c r="A290" s="55"/>
      <c r="B290" s="110" t="s">
        <v>197</v>
      </c>
      <c r="C290" s="58"/>
      <c r="D290" s="54">
        <f t="shared" si="27"/>
        <v>27677</v>
      </c>
      <c r="E290" s="54"/>
      <c r="F290" s="54"/>
      <c r="G290" s="54"/>
      <c r="H290" s="52">
        <f>'4.pielikums'!B279</f>
        <v>27677</v>
      </c>
      <c r="I290" s="75"/>
    </row>
    <row r="291" spans="1:9" ht="15" customHeight="1">
      <c r="A291" s="55"/>
      <c r="B291" s="110" t="s">
        <v>193</v>
      </c>
      <c r="C291" s="58"/>
      <c r="D291" s="54">
        <f t="shared" si="27"/>
        <v>27334</v>
      </c>
      <c r="E291" s="54"/>
      <c r="F291" s="54"/>
      <c r="G291" s="54"/>
      <c r="H291" s="52">
        <f>'4.pielikums'!B281</f>
        <v>27334</v>
      </c>
      <c r="I291" s="75"/>
    </row>
    <row r="292" spans="1:9" ht="15" customHeight="1">
      <c r="A292" s="55"/>
      <c r="B292" s="110" t="s">
        <v>214</v>
      </c>
      <c r="C292" s="58"/>
      <c r="D292" s="54">
        <f t="shared" si="27"/>
        <v>24564</v>
      </c>
      <c r="E292" s="54"/>
      <c r="F292" s="54"/>
      <c r="G292" s="54"/>
      <c r="H292" s="52">
        <f>'4.pielikums'!B282</f>
        <v>24564</v>
      </c>
      <c r="I292" s="75"/>
    </row>
    <row r="293" spans="1:9" ht="15" customHeight="1">
      <c r="A293" s="55"/>
      <c r="B293" s="110" t="s">
        <v>195</v>
      </c>
      <c r="C293" s="58"/>
      <c r="D293" s="54">
        <f>H293-E293-G293-F293-C293</f>
        <v>21750</v>
      </c>
      <c r="E293" s="54"/>
      <c r="F293" s="54"/>
      <c r="G293" s="54"/>
      <c r="H293" s="52">
        <f>'4.pielikums'!B283</f>
        <v>21750</v>
      </c>
      <c r="I293" s="75"/>
    </row>
    <row r="294" spans="1:9" ht="15" customHeight="1">
      <c r="A294" s="55"/>
      <c r="B294" s="111" t="s">
        <v>203</v>
      </c>
      <c r="C294" s="58"/>
      <c r="D294" s="54">
        <f t="shared" si="27"/>
        <v>98130</v>
      </c>
      <c r="E294" s="54"/>
      <c r="F294" s="54"/>
      <c r="G294" s="54"/>
      <c r="H294" s="52">
        <f>'4.pielikums'!B284</f>
        <v>98130</v>
      </c>
      <c r="I294" s="75"/>
    </row>
    <row r="295" spans="1:9" ht="15" customHeight="1">
      <c r="A295" s="55"/>
      <c r="B295" s="110" t="s">
        <v>740</v>
      </c>
      <c r="C295" s="58"/>
      <c r="D295" s="54">
        <f t="shared" si="27"/>
        <v>23505</v>
      </c>
      <c r="E295" s="54">
        <v>200</v>
      </c>
      <c r="F295" s="54"/>
      <c r="G295" s="54"/>
      <c r="H295" s="52">
        <f>'4.pielikums'!B286</f>
        <v>23705</v>
      </c>
      <c r="I295" s="75"/>
    </row>
    <row r="296" spans="1:9" ht="15" customHeight="1">
      <c r="A296" s="55"/>
      <c r="B296" s="110" t="s">
        <v>161</v>
      </c>
      <c r="C296" s="58"/>
      <c r="D296" s="54">
        <f t="shared" si="27"/>
        <v>36532</v>
      </c>
      <c r="E296" s="92">
        <v>900</v>
      </c>
      <c r="F296" s="54"/>
      <c r="G296" s="54"/>
      <c r="H296" s="52">
        <f>'4.pielikums'!B287</f>
        <v>37432</v>
      </c>
      <c r="I296" s="75"/>
    </row>
    <row r="297" spans="1:9" ht="15" customHeight="1">
      <c r="A297" s="55"/>
      <c r="B297" s="112" t="s">
        <v>216</v>
      </c>
      <c r="C297" s="58"/>
      <c r="D297" s="54">
        <f t="shared" si="27"/>
        <v>35852</v>
      </c>
      <c r="E297" s="54"/>
      <c r="F297" s="54"/>
      <c r="G297" s="54"/>
      <c r="H297" s="52">
        <f>'4.pielikums'!B289</f>
        <v>35852</v>
      </c>
      <c r="I297" s="75"/>
    </row>
    <row r="298" spans="1:9" ht="15" customHeight="1">
      <c r="A298" s="55"/>
      <c r="B298" s="110" t="s">
        <v>210</v>
      </c>
      <c r="C298" s="58"/>
      <c r="D298" s="54">
        <f t="shared" si="27"/>
        <v>21643</v>
      </c>
      <c r="E298" s="54"/>
      <c r="F298" s="54"/>
      <c r="G298" s="54"/>
      <c r="H298" s="52">
        <f>'4.pielikums'!B290</f>
        <v>21643</v>
      </c>
      <c r="I298" s="75"/>
    </row>
    <row r="299" spans="1:9" ht="15" customHeight="1">
      <c r="A299" s="55"/>
      <c r="B299" s="110" t="s">
        <v>212</v>
      </c>
      <c r="C299" s="58"/>
      <c r="D299" s="54">
        <f t="shared" si="27"/>
        <v>24653.98</v>
      </c>
      <c r="E299" s="54">
        <v>300</v>
      </c>
      <c r="F299" s="54"/>
      <c r="G299" s="54"/>
      <c r="H299" s="52">
        <f>'4.pielikums'!B291</f>
        <v>24953.98</v>
      </c>
      <c r="I299" s="75"/>
    </row>
    <row r="300" spans="1:9" ht="15" customHeight="1">
      <c r="A300" s="55"/>
      <c r="B300" s="110" t="s">
        <v>202</v>
      </c>
      <c r="C300" s="58"/>
      <c r="D300" s="54">
        <f t="shared" si="27"/>
        <v>28778</v>
      </c>
      <c r="E300" s="54"/>
      <c r="F300" s="54"/>
      <c r="G300" s="54"/>
      <c r="H300" s="52">
        <f>'4.pielikums'!B292</f>
        <v>28778</v>
      </c>
      <c r="I300" s="75"/>
    </row>
    <row r="301" spans="1:9" ht="15" customHeight="1">
      <c r="A301" s="55"/>
      <c r="B301" s="72" t="s">
        <v>52</v>
      </c>
      <c r="C301" s="58"/>
      <c r="D301" s="54">
        <f t="shared" si="27"/>
        <v>8000</v>
      </c>
      <c r="E301" s="54"/>
      <c r="F301" s="54"/>
      <c r="G301" s="54"/>
      <c r="H301" s="52">
        <f>'4.pielikums'!B293</f>
        <v>8000</v>
      </c>
      <c r="I301" s="75"/>
    </row>
    <row r="302" spans="1:9" ht="30" customHeight="1">
      <c r="A302" s="55"/>
      <c r="B302" s="71" t="s">
        <v>81</v>
      </c>
      <c r="C302" s="58"/>
      <c r="D302" s="54">
        <f>H302-E302-G302-F302-C302</f>
        <v>140000</v>
      </c>
      <c r="E302" s="70"/>
      <c r="F302" s="54"/>
      <c r="G302" s="54"/>
      <c r="H302" s="52">
        <f>'4.pielikums'!B294</f>
        <v>140000</v>
      </c>
      <c r="I302" s="75"/>
    </row>
    <row r="303" spans="1:9" ht="30" customHeight="1">
      <c r="A303" s="55"/>
      <c r="B303" s="71" t="s">
        <v>64</v>
      </c>
      <c r="C303" s="58">
        <v>3561</v>
      </c>
      <c r="D303" s="54">
        <f t="shared" si="27"/>
        <v>0</v>
      </c>
      <c r="E303" s="54"/>
      <c r="F303" s="54"/>
      <c r="G303" s="54"/>
      <c r="H303" s="52">
        <f>'4.pielikums'!B295</f>
        <v>3561</v>
      </c>
      <c r="I303" s="75"/>
    </row>
    <row r="304" spans="1:9" ht="30" customHeight="1">
      <c r="A304" s="60"/>
      <c r="B304" s="71" t="s">
        <v>229</v>
      </c>
      <c r="C304" s="58">
        <v>26568</v>
      </c>
      <c r="D304" s="54">
        <f t="shared" si="27"/>
        <v>0</v>
      </c>
      <c r="E304" s="54"/>
      <c r="F304" s="54"/>
      <c r="G304" s="54"/>
      <c r="H304" s="52">
        <f>'4.pielikums'!B296</f>
        <v>26568</v>
      </c>
      <c r="I304" s="75"/>
    </row>
    <row r="305" spans="1:9" ht="30" customHeight="1">
      <c r="A305" s="60"/>
      <c r="B305" s="103" t="s">
        <v>165</v>
      </c>
      <c r="C305" s="58">
        <v>38588</v>
      </c>
      <c r="D305" s="54">
        <f t="shared" si="27"/>
        <v>0</v>
      </c>
      <c r="E305" s="54"/>
      <c r="F305" s="54">
        <v>20000</v>
      </c>
      <c r="G305" s="54"/>
      <c r="H305" s="52">
        <f>'4.pielikums'!B297</f>
        <v>58588</v>
      </c>
      <c r="I305" s="75"/>
    </row>
    <row r="306" spans="1:9" ht="45" customHeight="1">
      <c r="A306" s="60"/>
      <c r="B306" s="73" t="s">
        <v>777</v>
      </c>
      <c r="C306" s="58">
        <v>19846</v>
      </c>
      <c r="D306" s="54">
        <f t="shared" si="27"/>
        <v>0</v>
      </c>
      <c r="E306" s="54"/>
      <c r="F306" s="54">
        <v>6386</v>
      </c>
      <c r="G306" s="54"/>
      <c r="H306" s="52">
        <f>'4.pielikums'!B298</f>
        <v>26232</v>
      </c>
      <c r="I306" s="75"/>
    </row>
    <row r="307" spans="1:9" ht="45" customHeight="1">
      <c r="A307" s="60"/>
      <c r="B307" s="73" t="s">
        <v>262</v>
      </c>
      <c r="C307" s="58">
        <v>901</v>
      </c>
      <c r="D307" s="54">
        <f t="shared" si="27"/>
        <v>0</v>
      </c>
      <c r="E307" s="54"/>
      <c r="F307" s="54">
        <v>8000</v>
      </c>
      <c r="G307" s="54"/>
      <c r="H307" s="52">
        <f>'4.pielikums'!B299</f>
        <v>8901</v>
      </c>
      <c r="I307" s="75"/>
    </row>
    <row r="308" spans="1:9" ht="63.75" customHeight="1">
      <c r="A308" s="60"/>
      <c r="B308" s="73" t="s">
        <v>774</v>
      </c>
      <c r="C308" s="58">
        <v>2555</v>
      </c>
      <c r="D308" s="54">
        <f t="shared" si="27"/>
        <v>0</v>
      </c>
      <c r="E308" s="54"/>
      <c r="F308" s="54">
        <v>1000</v>
      </c>
      <c r="G308" s="54"/>
      <c r="H308" s="52">
        <f>'4.pielikums'!B300</f>
        <v>3555</v>
      </c>
      <c r="I308" s="75"/>
    </row>
    <row r="309" spans="1:9" ht="20.25" customHeight="1">
      <c r="A309" s="60"/>
      <c r="B309" s="71" t="s">
        <v>255</v>
      </c>
      <c r="C309" s="58"/>
      <c r="D309" s="54">
        <f t="shared" si="27"/>
        <v>37317</v>
      </c>
      <c r="E309" s="54"/>
      <c r="F309" s="54"/>
      <c r="G309" s="54"/>
      <c r="H309" s="52">
        <f>'4.pielikums'!B301</f>
        <v>37317</v>
      </c>
      <c r="I309" s="75"/>
    </row>
    <row r="310" spans="1:9" ht="20.25" customHeight="1">
      <c r="A310" s="60"/>
      <c r="B310" s="71" t="s">
        <v>871</v>
      </c>
      <c r="C310" s="58"/>
      <c r="D310" s="54">
        <f>H310-E310-G310-F310-C310</f>
        <v>300</v>
      </c>
      <c r="E310" s="54"/>
      <c r="F310" s="54"/>
      <c r="G310" s="54"/>
      <c r="H310" s="52">
        <f>'4.pielikums'!B302</f>
        <v>300</v>
      </c>
      <c r="I310" s="75"/>
    </row>
    <row r="311" spans="1:9" ht="37.5" customHeight="1">
      <c r="A311" s="60"/>
      <c r="B311" s="71" t="s">
        <v>253</v>
      </c>
      <c r="C311" s="58"/>
      <c r="D311" s="54">
        <f t="shared" si="27"/>
        <v>96710</v>
      </c>
      <c r="E311" s="54"/>
      <c r="F311" s="54"/>
      <c r="G311" s="54"/>
      <c r="H311" s="52">
        <f>'4.pielikums'!B303</f>
        <v>96710</v>
      </c>
      <c r="I311" s="75"/>
    </row>
    <row r="312" spans="1:9" ht="24.75" customHeight="1">
      <c r="A312" s="60"/>
      <c r="B312" s="71" t="s">
        <v>857</v>
      </c>
      <c r="C312" s="58"/>
      <c r="D312" s="54">
        <f t="shared" si="27"/>
        <v>0</v>
      </c>
      <c r="E312" s="54"/>
      <c r="F312" s="54">
        <v>6492</v>
      </c>
      <c r="G312" s="54"/>
      <c r="H312" s="52">
        <f>'4.pielikums'!B350</f>
        <v>6492</v>
      </c>
      <c r="I312" s="75"/>
    </row>
    <row r="313" spans="1:9" ht="45" customHeight="1">
      <c r="A313" s="60"/>
      <c r="B313" s="71" t="s">
        <v>866</v>
      </c>
      <c r="C313" s="58"/>
      <c r="D313" s="54"/>
      <c r="E313" s="54"/>
      <c r="F313" s="54">
        <v>3500</v>
      </c>
      <c r="G313" s="54"/>
      <c r="H313" s="52">
        <f>'4.pielikums'!B352</f>
        <v>3500</v>
      </c>
      <c r="I313" s="75"/>
    </row>
    <row r="314" spans="1:9" ht="37.5" customHeight="1">
      <c r="A314" s="60"/>
      <c r="B314" s="71" t="s">
        <v>864</v>
      </c>
      <c r="C314" s="58"/>
      <c r="D314" s="54"/>
      <c r="E314" s="54"/>
      <c r="F314" s="92">
        <v>36004</v>
      </c>
      <c r="G314" s="92"/>
      <c r="H314" s="52">
        <f>'4.pielikums'!B353</f>
        <v>36004</v>
      </c>
      <c r="I314" s="75"/>
    </row>
    <row r="315" spans="1:9" ht="37.5" customHeight="1">
      <c r="A315" s="60"/>
      <c r="B315" s="253" t="s">
        <v>884</v>
      </c>
      <c r="C315" s="58"/>
      <c r="D315" s="54"/>
      <c r="E315" s="54"/>
      <c r="F315" s="92">
        <v>8500</v>
      </c>
      <c r="G315" s="92"/>
      <c r="H315" s="52">
        <f>'4.pielikums'!B357</f>
        <v>8500</v>
      </c>
      <c r="I315" s="75"/>
    </row>
    <row r="316" spans="1:9" ht="37.5" customHeight="1">
      <c r="A316" s="60"/>
      <c r="B316" s="253" t="s">
        <v>879</v>
      </c>
      <c r="C316" s="58"/>
      <c r="D316" s="54"/>
      <c r="E316" s="54"/>
      <c r="F316" s="92">
        <v>7057</v>
      </c>
      <c r="G316" s="92"/>
      <c r="H316" s="52">
        <f>'4.pielikums'!B355</f>
        <v>7057</v>
      </c>
      <c r="I316" s="75"/>
    </row>
    <row r="317" spans="1:9" ht="45.75" customHeight="1">
      <c r="A317" s="60"/>
      <c r="B317" s="253" t="s">
        <v>887</v>
      </c>
      <c r="C317" s="58"/>
      <c r="D317" s="54"/>
      <c r="E317" s="54"/>
      <c r="F317" s="92">
        <v>1000</v>
      </c>
      <c r="G317" s="92"/>
      <c r="H317" s="52">
        <f>'4.pielikums'!B358</f>
        <v>1513</v>
      </c>
      <c r="I317" s="75"/>
    </row>
    <row r="318" spans="1:9" ht="32.25" customHeight="1">
      <c r="A318" s="60"/>
      <c r="B318" s="253" t="s">
        <v>894</v>
      </c>
      <c r="C318" s="58"/>
      <c r="D318" s="54"/>
      <c r="E318" s="54"/>
      <c r="F318" s="92">
        <v>23808</v>
      </c>
      <c r="G318" s="92"/>
      <c r="H318" s="52">
        <f>'4.pielikums'!B359</f>
        <v>23808</v>
      </c>
      <c r="I318" s="75"/>
    </row>
    <row r="319" spans="1:9" ht="15" customHeight="1">
      <c r="A319" s="15" t="s">
        <v>328</v>
      </c>
      <c r="B319" s="83" t="s">
        <v>329</v>
      </c>
      <c r="C319" s="63">
        <f t="shared" si="31" ref="C319:G319">C320+C321</f>
        <v>115160</v>
      </c>
      <c r="D319" s="63">
        <f t="shared" si="31"/>
        <v>3363830</v>
      </c>
      <c r="E319" s="128">
        <f t="shared" si="31"/>
        <v>1781587</v>
      </c>
      <c r="F319" s="63">
        <f t="shared" si="31"/>
        <v>948493</v>
      </c>
      <c r="G319" s="63">
        <f t="shared" si="31"/>
        <v>0</v>
      </c>
      <c r="H319" s="52">
        <f>H320+H321</f>
        <v>6209070</v>
      </c>
      <c r="I319" s="75"/>
    </row>
    <row r="320" spans="1:9" ht="15" customHeight="1">
      <c r="A320" s="15"/>
      <c r="B320" s="84" t="s">
        <v>54</v>
      </c>
      <c r="C320" s="64"/>
      <c r="D320" s="54">
        <f t="shared" si="27"/>
        <v>207845</v>
      </c>
      <c r="E320" s="92">
        <v>10000</v>
      </c>
      <c r="F320" s="54"/>
      <c r="G320" s="54"/>
      <c r="H320" s="52">
        <f>'4.pielikums'!B304</f>
        <v>217845</v>
      </c>
      <c r="I320" s="75"/>
    </row>
    <row r="321" spans="1:9" ht="30" customHeight="1">
      <c r="A321" s="67"/>
      <c r="B321" s="109" t="s">
        <v>330</v>
      </c>
      <c r="C321" s="63">
        <f>SUM(C322:C339)</f>
        <v>115160</v>
      </c>
      <c r="D321" s="63">
        <f t="shared" si="32" ref="D321:G321">SUM(D322:D339)</f>
        <v>3155985</v>
      </c>
      <c r="E321" s="63">
        <f t="shared" si="32"/>
        <v>1771587</v>
      </c>
      <c r="F321" s="63">
        <f t="shared" si="32"/>
        <v>948493</v>
      </c>
      <c r="G321" s="63">
        <f t="shared" si="32"/>
        <v>0</v>
      </c>
      <c r="H321" s="52">
        <f>SUM(H322:H339)</f>
        <v>5991225</v>
      </c>
      <c r="I321" s="75"/>
    </row>
    <row r="322" spans="1:9" ht="15" customHeight="1">
      <c r="A322" s="15"/>
      <c r="B322" s="84" t="s">
        <v>186</v>
      </c>
      <c r="C322" s="64"/>
      <c r="D322" s="54">
        <f t="shared" si="27"/>
        <v>620880</v>
      </c>
      <c r="E322" s="92">
        <v>2857</v>
      </c>
      <c r="F322" s="54"/>
      <c r="G322" s="54"/>
      <c r="H322" s="52">
        <f>'4.pielikums'!B305</f>
        <v>623737</v>
      </c>
      <c r="I322" s="75"/>
    </row>
    <row r="323" spans="1:9" ht="15" customHeight="1">
      <c r="A323" s="15"/>
      <c r="B323" s="84" t="s">
        <v>240</v>
      </c>
      <c r="C323" s="64"/>
      <c r="D323" s="54">
        <f t="shared" si="27"/>
        <v>883591</v>
      </c>
      <c r="E323" s="92"/>
      <c r="F323" s="92">
        <v>306409</v>
      </c>
      <c r="G323" s="54"/>
      <c r="H323" s="52">
        <f>'4.pielikums'!B306</f>
        <v>1190000</v>
      </c>
      <c r="I323" s="75"/>
    </row>
    <row r="324" spans="1:9" ht="15" customHeight="1">
      <c r="A324" s="15"/>
      <c r="B324" s="84" t="s">
        <v>182</v>
      </c>
      <c r="C324" s="64"/>
      <c r="D324" s="54">
        <f t="shared" si="33" ref="D324:D339">H324-E324-G324-F324-C324</f>
        <v>19690</v>
      </c>
      <c r="E324" s="92"/>
      <c r="F324" s="54"/>
      <c r="G324" s="54"/>
      <c r="H324" s="52">
        <f>'4.pielikums'!B308</f>
        <v>19690</v>
      </c>
      <c r="I324" s="75"/>
    </row>
    <row r="325" spans="1:9" ht="15" customHeight="1">
      <c r="A325" s="15"/>
      <c r="B325" s="84" t="s">
        <v>55</v>
      </c>
      <c r="C325" s="64"/>
      <c r="D325" s="54">
        <f t="shared" si="33"/>
        <v>11537</v>
      </c>
      <c r="E325" s="92">
        <f>10600</f>
        <v>10600</v>
      </c>
      <c r="F325" s="54"/>
      <c r="G325" s="54"/>
      <c r="H325" s="52">
        <f>'4.pielikums'!B309</f>
        <v>22137</v>
      </c>
      <c r="I325" s="75"/>
    </row>
    <row r="326" spans="1:9" ht="15" customHeight="1">
      <c r="A326" s="15"/>
      <c r="B326" s="84" t="s">
        <v>66</v>
      </c>
      <c r="C326" s="64"/>
      <c r="D326" s="54">
        <f t="shared" si="33"/>
        <v>268662</v>
      </c>
      <c r="E326" s="92">
        <v>1510</v>
      </c>
      <c r="F326" s="89"/>
      <c r="G326" s="54"/>
      <c r="H326" s="52">
        <f>'4.pielikums'!B310</f>
        <v>270172</v>
      </c>
      <c r="I326" s="75"/>
    </row>
    <row r="327" spans="1:9" ht="15" customHeight="1">
      <c r="A327" s="56"/>
      <c r="B327" s="84" t="s">
        <v>53</v>
      </c>
      <c r="C327" s="64">
        <v>59367</v>
      </c>
      <c r="D327" s="54">
        <f t="shared" si="33"/>
        <v>593980</v>
      </c>
      <c r="E327" s="92">
        <v>1176617</v>
      </c>
      <c r="F327" s="54"/>
      <c r="G327" s="54"/>
      <c r="H327" s="52">
        <f>'4.pielikums'!B311</f>
        <v>1829964</v>
      </c>
      <c r="I327" s="75"/>
    </row>
    <row r="328" spans="1:9" ht="15" customHeight="1">
      <c r="A328" s="56"/>
      <c r="B328" s="72" t="s">
        <v>129</v>
      </c>
      <c r="C328" s="59"/>
      <c r="D328" s="54">
        <f t="shared" si="33"/>
        <v>173795</v>
      </c>
      <c r="E328" s="54">
        <v>166314</v>
      </c>
      <c r="F328" s="54"/>
      <c r="G328" s="54"/>
      <c r="H328" s="52">
        <f>'4.pielikums'!B312</f>
        <v>340109</v>
      </c>
      <c r="I328" s="75"/>
    </row>
    <row r="329" spans="1:9" ht="15" customHeight="1">
      <c r="A329" s="56"/>
      <c r="B329" s="113" t="s">
        <v>131</v>
      </c>
      <c r="C329" s="59"/>
      <c r="D329" s="54">
        <f t="shared" si="33"/>
        <v>61252</v>
      </c>
      <c r="E329" s="54">
        <v>157128</v>
      </c>
      <c r="F329" s="89"/>
      <c r="G329" s="54"/>
      <c r="H329" s="52">
        <f>'4.pielikums'!B313</f>
        <v>218380</v>
      </c>
      <c r="I329" s="75"/>
    </row>
    <row r="330" spans="1:9" ht="15" customHeight="1">
      <c r="A330" s="56"/>
      <c r="B330" s="115" t="s">
        <v>130</v>
      </c>
      <c r="C330" s="59"/>
      <c r="D330" s="54">
        <f t="shared" si="33"/>
        <v>88680</v>
      </c>
      <c r="E330" s="54">
        <v>216583</v>
      </c>
      <c r="F330" s="54"/>
      <c r="G330" s="54"/>
      <c r="H330" s="52">
        <f>'4.pielikums'!B314</f>
        <v>305263</v>
      </c>
      <c r="I330" s="75"/>
    </row>
    <row r="331" spans="1:9" ht="30" customHeight="1">
      <c r="A331" s="56"/>
      <c r="B331" s="71" t="s">
        <v>84</v>
      </c>
      <c r="C331" s="59"/>
      <c r="D331" s="54">
        <f t="shared" si="33"/>
        <v>234761</v>
      </c>
      <c r="E331" s="54">
        <v>22666</v>
      </c>
      <c r="F331" s="89"/>
      <c r="G331" s="54"/>
      <c r="H331" s="52">
        <f>'4.pielikums'!B316</f>
        <v>257427</v>
      </c>
      <c r="I331" s="75"/>
    </row>
    <row r="332" spans="1:9" ht="30" customHeight="1">
      <c r="A332" s="56"/>
      <c r="B332" s="73" t="s">
        <v>187</v>
      </c>
      <c r="C332" s="59"/>
      <c r="D332" s="54">
        <f t="shared" si="33"/>
        <v>73881</v>
      </c>
      <c r="E332" s="54"/>
      <c r="F332" s="89"/>
      <c r="G332" s="54"/>
      <c r="H332" s="52">
        <f>'4.pielikums'!B317</f>
        <v>73881</v>
      </c>
      <c r="I332" s="75"/>
    </row>
    <row r="333" spans="1:9" ht="30" customHeight="1">
      <c r="A333" s="56"/>
      <c r="B333" s="103" t="s">
        <v>188</v>
      </c>
      <c r="C333" s="59"/>
      <c r="D333" s="54">
        <f t="shared" si="33"/>
        <v>118584</v>
      </c>
      <c r="E333" s="54">
        <v>16345</v>
      </c>
      <c r="F333" s="89"/>
      <c r="G333" s="54"/>
      <c r="H333" s="52">
        <f>'4.pielikums'!B318</f>
        <v>134929</v>
      </c>
      <c r="I333" s="75"/>
    </row>
    <row r="334" spans="1:9" ht="30" customHeight="1">
      <c r="A334" s="56"/>
      <c r="B334" s="73" t="s">
        <v>172</v>
      </c>
      <c r="C334" s="59"/>
      <c r="D334" s="54">
        <f t="shared" si="33"/>
        <v>4601</v>
      </c>
      <c r="E334" s="54">
        <f>600</f>
        <v>600</v>
      </c>
      <c r="F334" s="54"/>
      <c r="G334" s="54"/>
      <c r="H334" s="52">
        <f>'4.pielikums'!B319</f>
        <v>5201</v>
      </c>
      <c r="I334" s="75"/>
    </row>
    <row r="335" spans="1:9" ht="30" customHeight="1">
      <c r="A335" s="56"/>
      <c r="B335" s="73" t="s">
        <v>693</v>
      </c>
      <c r="C335" s="59"/>
      <c r="D335" s="54">
        <f t="shared" si="33"/>
        <v>133</v>
      </c>
      <c r="E335" s="54">
        <v>367</v>
      </c>
      <c r="F335" s="54"/>
      <c r="G335" s="54"/>
      <c r="H335" s="52">
        <f>'4.pielikums'!B320</f>
        <v>500</v>
      </c>
      <c r="I335" s="75"/>
    </row>
    <row r="336" spans="1:9" ht="30" customHeight="1">
      <c r="A336" s="56"/>
      <c r="B336" s="71" t="s">
        <v>332</v>
      </c>
      <c r="C336" s="59"/>
      <c r="D336" s="54">
        <f t="shared" si="33"/>
        <v>0</v>
      </c>
      <c r="E336" s="54"/>
      <c r="F336" s="54">
        <v>632852</v>
      </c>
      <c r="G336" s="54"/>
      <c r="H336" s="52">
        <f>'4.pielikums'!B321</f>
        <v>632852</v>
      </c>
      <c r="I336" s="75"/>
    </row>
    <row r="337" spans="1:9" ht="30" customHeight="1">
      <c r="A337" s="56"/>
      <c r="B337" s="71" t="s">
        <v>62</v>
      </c>
      <c r="C337" s="59">
        <v>42383</v>
      </c>
      <c r="D337" s="54">
        <f t="shared" si="33"/>
        <v>0</v>
      </c>
      <c r="E337" s="54"/>
      <c r="F337" s="54">
        <v>0</v>
      </c>
      <c r="G337" s="54"/>
      <c r="H337" s="52">
        <f>'4.pielikums'!B322</f>
        <v>42383</v>
      </c>
      <c r="I337" s="75"/>
    </row>
    <row r="338" spans="1:9" ht="30" customHeight="1">
      <c r="A338" s="56"/>
      <c r="B338" s="72" t="s">
        <v>61</v>
      </c>
      <c r="C338" s="59">
        <v>13410</v>
      </c>
      <c r="D338" s="54">
        <f t="shared" si="33"/>
        <v>458</v>
      </c>
      <c r="E338" s="54"/>
      <c r="F338" s="54">
        <v>9232</v>
      </c>
      <c r="G338" s="54"/>
      <c r="H338" s="52">
        <f>'4.pielikums'!B323</f>
        <v>23100</v>
      </c>
      <c r="I338" s="75"/>
    </row>
    <row r="339" spans="1:9" ht="30" customHeight="1">
      <c r="A339" s="56"/>
      <c r="B339" s="105" t="s">
        <v>331</v>
      </c>
      <c r="C339" s="59"/>
      <c r="D339" s="54">
        <f t="shared" si="33"/>
        <v>1500</v>
      </c>
      <c r="E339" s="54"/>
      <c r="F339" s="54"/>
      <c r="G339" s="54"/>
      <c r="H339" s="52">
        <f>'4.pielikums'!B324+'4.pielikums'!B325+'4.pielikums'!B326+'4.pielikums'!B327</f>
        <v>1500</v>
      </c>
      <c r="I339" s="75"/>
    </row>
    <row r="340" spans="2:8" ht="15.75">
      <c r="B340" s="247"/>
      <c r="C340" s="19"/>
      <c r="H340" s="246"/>
    </row>
    <row r="341" spans="2:3" ht="18.75">
      <c r="B341" s="77" t="s">
        <v>333</v>
      </c>
      <c r="C341" s="19"/>
    </row>
    <row r="342" spans="2:3" ht="15.75">
      <c r="B342" s="57"/>
      <c r="C342" s="19"/>
    </row>
  </sheetData>
  <mergeCells count="3">
    <mergeCell ref="H15:H16"/>
    <mergeCell ref="B15:B16"/>
    <mergeCell ref="A15:A16"/>
  </mergeCells>
  <pageMargins left="0.25" right="0.25" top="0.75" bottom="0.75" header="0.3" footer="0.3"/>
  <pageSetup orientation="portrait" paperSize="9" scale="5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71"/>
  <sheetViews>
    <sheetView tabSelected="1" zoomScale="96" zoomScaleNormal="96" workbookViewId="0" topLeftCell="A1">
      <selection pane="topLeft" activeCell="P3" sqref="P3"/>
    </sheetView>
  </sheetViews>
  <sheetFormatPr defaultColWidth="9.14428571428571" defaultRowHeight="15"/>
  <cols>
    <col min="1" max="1" width="40.5714285714286" style="57" customWidth="1"/>
    <col min="2" max="2" width="13.4285714285714" style="120" customWidth="1"/>
    <col min="3" max="3" width="17.8571428571429" style="57" customWidth="1"/>
    <col min="4" max="4" width="15.2857142857143" style="57" hidden="1" customWidth="1"/>
    <col min="5" max="5" width="13" style="57" hidden="1" customWidth="1"/>
    <col min="6" max="6" width="15.8571428571429" style="57" customWidth="1"/>
    <col min="7" max="8" width="12" style="120" customWidth="1"/>
    <col min="9" max="9" width="12.2857142857143" style="120" customWidth="1"/>
    <col min="10" max="10" width="9.57142857142857" style="120" customWidth="1"/>
    <col min="11" max="11" width="13.1428571428571" style="120" customWidth="1"/>
    <col min="12" max="12" width="11.1428571428571" style="120" customWidth="1"/>
    <col min="13" max="13" width="13.5714285714286" style="120" customWidth="1"/>
    <col min="14" max="14" width="14.2857142857143" style="120" customWidth="1"/>
    <col min="15" max="15" width="14" style="120" customWidth="1"/>
    <col min="16" max="16" width="12.1428571428571" style="120" customWidth="1"/>
    <col min="17" max="17" width="11.2857142857143" style="57" bestFit="1" customWidth="1"/>
    <col min="18" max="18" width="10.1428571428571" style="57" bestFit="1" customWidth="1"/>
    <col min="19" max="16384" width="9.14285714285714" style="57"/>
  </cols>
  <sheetData>
    <row r="1" spans="1:16" ht="15" customHeight="1">
      <c r="A1" s="263"/>
      <c r="B1" s="264"/>
      <c r="C1" s="264"/>
      <c r="D1" s="264"/>
      <c r="E1" s="264"/>
      <c r="G1" s="149"/>
      <c r="H1" s="149"/>
      <c r="I1" s="149"/>
      <c r="J1" s="149"/>
      <c r="K1" s="149"/>
      <c r="L1" s="149"/>
      <c r="M1" s="149"/>
      <c r="N1" s="149"/>
      <c r="O1" s="149"/>
      <c r="P1" s="154" t="s">
        <v>175</v>
      </c>
    </row>
    <row r="2" spans="1:16" ht="15" customHeight="1">
      <c r="A2" s="263"/>
      <c r="B2" s="264"/>
      <c r="C2" s="264"/>
      <c r="D2" s="264"/>
      <c r="E2" s="264"/>
      <c r="G2" s="149"/>
      <c r="H2" s="149"/>
      <c r="I2" s="149"/>
      <c r="J2" s="149"/>
      <c r="K2" s="149"/>
      <c r="L2" s="149"/>
      <c r="M2" s="149"/>
      <c r="N2" s="149"/>
      <c r="O2" s="149"/>
      <c r="P2" s="149" t="s">
        <v>835</v>
      </c>
    </row>
    <row r="3" spans="1:16" ht="15" customHeight="1">
      <c r="A3" s="263"/>
      <c r="B3" s="264"/>
      <c r="C3" s="264"/>
      <c r="D3" s="264"/>
      <c r="E3" s="264"/>
      <c r="G3" s="149"/>
      <c r="H3" s="149"/>
      <c r="I3" s="149"/>
      <c r="J3" s="149"/>
      <c r="K3" s="149"/>
      <c r="L3" s="149"/>
      <c r="M3" s="149"/>
      <c r="N3" s="149"/>
      <c r="O3" s="149"/>
      <c r="P3" s="149" t="s">
        <v>897</v>
      </c>
    </row>
    <row r="4" spans="1:16" ht="15" customHeight="1">
      <c r="A4" s="263"/>
      <c r="B4" s="264"/>
      <c r="C4" s="264"/>
      <c r="D4" s="264"/>
      <c r="E4" s="264"/>
      <c r="G4" s="149"/>
      <c r="H4" s="149"/>
      <c r="I4" s="149"/>
      <c r="J4" s="149"/>
      <c r="K4" s="149"/>
      <c r="L4" s="149"/>
      <c r="M4" s="149"/>
      <c r="N4" s="149"/>
      <c r="O4" s="149"/>
      <c r="P4" s="149" t="s">
        <v>841</v>
      </c>
    </row>
    <row r="5" spans="1:16" ht="15" customHeight="1">
      <c r="A5" s="263"/>
      <c r="B5" s="264"/>
      <c r="C5" s="264"/>
      <c r="D5" s="264"/>
      <c r="E5" s="264"/>
      <c r="G5" s="149"/>
      <c r="H5" s="149"/>
      <c r="I5" s="149"/>
      <c r="J5" s="149"/>
      <c r="K5" s="149"/>
      <c r="L5" s="149"/>
      <c r="M5" s="155"/>
      <c r="N5" s="149"/>
      <c r="O5" s="149"/>
      <c r="P5" s="149" t="s">
        <v>767</v>
      </c>
    </row>
    <row r="6" spans="1:16" ht="15" customHeight="1">
      <c r="A6" s="263"/>
      <c r="B6" s="264"/>
      <c r="C6" s="264"/>
      <c r="D6" s="264"/>
      <c r="E6" s="264"/>
      <c r="G6" s="149"/>
      <c r="H6" s="149"/>
      <c r="I6" s="149"/>
      <c r="J6" s="149"/>
      <c r="K6" s="149"/>
      <c r="L6" s="149"/>
      <c r="M6" s="155"/>
      <c r="N6" s="149"/>
      <c r="O6" s="149"/>
      <c r="P6" s="149"/>
    </row>
    <row r="7" spans="1:16" ht="15" customHeight="1">
      <c r="A7" s="263"/>
      <c r="B7" s="264"/>
      <c r="C7" s="264"/>
      <c r="D7" s="264"/>
      <c r="E7" s="264"/>
      <c r="G7" s="149"/>
      <c r="H7" s="149"/>
      <c r="I7" s="149"/>
      <c r="J7" s="149"/>
      <c r="K7" s="149"/>
      <c r="L7" s="149"/>
      <c r="M7" s="155"/>
      <c r="N7" s="149"/>
      <c r="O7" s="149"/>
      <c r="P7" s="154" t="s">
        <v>175</v>
      </c>
    </row>
    <row r="8" spans="1:16" ht="15" customHeight="1">
      <c r="A8" s="263"/>
      <c r="B8" s="264"/>
      <c r="C8" s="264"/>
      <c r="D8" s="264"/>
      <c r="E8" s="264"/>
      <c r="G8" s="149"/>
      <c r="H8" s="149"/>
      <c r="I8" s="149"/>
      <c r="J8" s="149"/>
      <c r="K8" s="149"/>
      <c r="L8" s="149"/>
      <c r="M8" s="155"/>
      <c r="N8" s="149"/>
      <c r="O8" s="149"/>
      <c r="P8" s="149" t="s">
        <v>835</v>
      </c>
    </row>
    <row r="9" spans="1:16" ht="15" customHeight="1">
      <c r="A9" s="263"/>
      <c r="B9" s="264"/>
      <c r="C9" s="264"/>
      <c r="D9" s="264"/>
      <c r="E9" s="264"/>
      <c r="G9" s="149"/>
      <c r="H9" s="149"/>
      <c r="I9" s="149"/>
      <c r="J9" s="149"/>
      <c r="K9" s="149"/>
      <c r="L9" s="149"/>
      <c r="M9" s="155"/>
      <c r="N9" s="149"/>
      <c r="O9" s="149"/>
      <c r="P9" s="149" t="s">
        <v>836</v>
      </c>
    </row>
    <row r="10" spans="1:16" ht="15" customHeight="1">
      <c r="A10" s="263"/>
      <c r="B10" s="264"/>
      <c r="C10" s="264"/>
      <c r="D10" s="264"/>
      <c r="E10" s="264"/>
      <c r="G10" s="149"/>
      <c r="H10" s="149"/>
      <c r="I10" s="149"/>
      <c r="J10" s="149"/>
      <c r="K10" s="149"/>
      <c r="L10" s="149"/>
      <c r="M10" s="155"/>
      <c r="N10" s="149"/>
      <c r="O10" s="149"/>
      <c r="P10" s="149" t="s">
        <v>767</v>
      </c>
    </row>
    <row r="11" spans="1:16" ht="15" customHeight="1">
      <c r="A11" s="263"/>
      <c r="B11" s="264"/>
      <c r="C11" s="264"/>
      <c r="D11" s="264"/>
      <c r="E11" s="264"/>
      <c r="G11" s="149"/>
      <c r="H11" s="149"/>
      <c r="I11" s="149"/>
      <c r="J11" s="149"/>
      <c r="K11" s="149"/>
      <c r="L11" s="149"/>
      <c r="M11" s="155"/>
      <c r="N11" s="149"/>
      <c r="O11" s="149"/>
      <c r="P11" s="149"/>
    </row>
    <row r="12" spans="1:16" ht="15" customHeight="1">
      <c r="A12" s="263"/>
      <c r="B12" s="264"/>
      <c r="C12" s="264"/>
      <c r="D12" s="264"/>
      <c r="E12" s="264"/>
      <c r="G12" s="155"/>
      <c r="H12" s="155"/>
      <c r="I12" s="155"/>
      <c r="J12" s="155"/>
      <c r="K12" s="155"/>
      <c r="L12" s="155"/>
      <c r="M12" s="155"/>
      <c r="N12" s="155"/>
      <c r="O12" s="155"/>
      <c r="P12" s="155"/>
    </row>
    <row r="13" spans="1:16" ht="15" customHeight="1">
      <c r="A13" s="1" t="s">
        <v>768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ht="15" customHeight="1"/>
    <row r="15" spans="1:16" s="76" customFormat="1" ht="15" customHeight="1">
      <c r="A15" s="262" t="s">
        <v>0</v>
      </c>
      <c r="B15" s="11" t="s">
        <v>769</v>
      </c>
      <c r="C15" s="261" t="s">
        <v>92</v>
      </c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</row>
    <row r="16" spans="1:16" s="76" customFormat="1" ht="15" customHeight="1">
      <c r="A16" s="262"/>
      <c r="B16" s="11"/>
      <c r="C16" s="79">
        <v>1000</v>
      </c>
      <c r="D16" s="79">
        <v>1100</v>
      </c>
      <c r="E16" s="79">
        <v>1200</v>
      </c>
      <c r="F16" s="79">
        <v>2000</v>
      </c>
      <c r="G16" s="156">
        <v>2100</v>
      </c>
      <c r="H16" s="156">
        <v>2200</v>
      </c>
      <c r="I16" s="156">
        <v>2300</v>
      </c>
      <c r="J16" s="156">
        <v>2400</v>
      </c>
      <c r="K16" s="156">
        <v>2500</v>
      </c>
      <c r="L16" s="156">
        <v>3000</v>
      </c>
      <c r="M16" s="156">
        <v>4000</v>
      </c>
      <c r="N16" s="156">
        <v>5000</v>
      </c>
      <c r="O16" s="157">
        <v>6000</v>
      </c>
      <c r="P16" s="157">
        <v>7000</v>
      </c>
    </row>
    <row r="17" spans="1:16" s="76" customFormat="1" ht="105" customHeight="1">
      <c r="A17" s="262"/>
      <c r="B17" s="11"/>
      <c r="C17" s="222" t="s">
        <v>87</v>
      </c>
      <c r="D17" s="222" t="s">
        <v>741</v>
      </c>
      <c r="E17" s="222" t="s">
        <v>742</v>
      </c>
      <c r="F17" s="222" t="s">
        <v>88</v>
      </c>
      <c r="G17" s="157" t="s">
        <v>244</v>
      </c>
      <c r="H17" s="157" t="s">
        <v>245</v>
      </c>
      <c r="I17" s="157" t="s">
        <v>246</v>
      </c>
      <c r="J17" s="157" t="s">
        <v>739</v>
      </c>
      <c r="K17" s="157" t="s">
        <v>247</v>
      </c>
      <c r="L17" s="157" t="s">
        <v>89</v>
      </c>
      <c r="M17" s="157" t="s">
        <v>90</v>
      </c>
      <c r="N17" s="157" t="s">
        <v>91</v>
      </c>
      <c r="O17" s="157" t="s">
        <v>85</v>
      </c>
      <c r="P17" s="157" t="s">
        <v>86</v>
      </c>
    </row>
    <row r="18" spans="1:16" ht="15" customHeight="1">
      <c r="A18" s="130" t="s">
        <v>1</v>
      </c>
      <c r="B18" s="131">
        <f>SUM(C18+F18,L18:P18)</f>
        <v>1522773</v>
      </c>
      <c r="C18" s="213">
        <f>D18+E18</f>
        <v>1287651</v>
      </c>
      <c r="D18" s="213">
        <v>1040812</v>
      </c>
      <c r="E18" s="213">
        <v>246839</v>
      </c>
      <c r="F18" s="213">
        <f>SUM(G18:K18)</f>
        <v>232372</v>
      </c>
      <c r="G18" s="134">
        <v>2480</v>
      </c>
      <c r="H18" s="134">
        <f>177541+23631-1750</f>
        <v>199422</v>
      </c>
      <c r="I18" s="134">
        <v>28470</v>
      </c>
      <c r="J18" s="134"/>
      <c r="K18" s="134">
        <v>2000</v>
      </c>
      <c r="L18" s="134"/>
      <c r="M18" s="134"/>
      <c r="N18" s="134">
        <v>1000</v>
      </c>
      <c r="O18" s="134"/>
      <c r="P18" s="134">
        <v>1750</v>
      </c>
    </row>
    <row r="19" spans="1:16" ht="15" customHeight="1">
      <c r="A19" s="130" t="s">
        <v>2</v>
      </c>
      <c r="B19" s="131">
        <f t="shared" si="0" ref="B19:B43">SUM(C19+F19,L19:P19)</f>
        <v>127701</v>
      </c>
      <c r="C19" s="213">
        <f t="shared" si="1" ref="C19:C23">D19+E19</f>
        <v>127701</v>
      </c>
      <c r="D19" s="213">
        <v>103555</v>
      </c>
      <c r="E19" s="213">
        <v>24146</v>
      </c>
      <c r="F19" s="213">
        <f t="shared" si="2" ref="F19:F23">SUM(G19:K19)</f>
        <v>0</v>
      </c>
      <c r="G19" s="134"/>
      <c r="H19" s="134"/>
      <c r="I19" s="134"/>
      <c r="J19" s="134"/>
      <c r="K19" s="134"/>
      <c r="L19" s="134"/>
      <c r="M19" s="134"/>
      <c r="N19" s="134"/>
      <c r="O19" s="134"/>
      <c r="P19" s="134"/>
    </row>
    <row r="20" spans="1:16" ht="30" customHeight="1">
      <c r="A20" s="130" t="s">
        <v>181</v>
      </c>
      <c r="B20" s="131">
        <f t="shared" si="0"/>
        <v>255015</v>
      </c>
      <c r="C20" s="213">
        <f t="shared" si="1"/>
        <v>0</v>
      </c>
      <c r="D20" s="213"/>
      <c r="E20" s="213"/>
      <c r="F20" s="213">
        <f t="shared" si="2"/>
        <v>0</v>
      </c>
      <c r="G20" s="134"/>
      <c r="H20" s="134"/>
      <c r="I20" s="134"/>
      <c r="J20" s="134"/>
      <c r="K20" s="134"/>
      <c r="L20" s="134"/>
      <c r="M20" s="134"/>
      <c r="N20" s="134"/>
      <c r="O20" s="134">
        <v>255015</v>
      </c>
      <c r="P20" s="134"/>
    </row>
    <row r="21" spans="1:16" ht="15" customHeight="1">
      <c r="A21" s="130" t="s">
        <v>213</v>
      </c>
      <c r="B21" s="131">
        <f t="shared" si="0"/>
        <v>30000</v>
      </c>
      <c r="C21" s="213">
        <f>D21+E21</f>
        <v>30000</v>
      </c>
      <c r="D21" s="213">
        <v>24274</v>
      </c>
      <c r="E21" s="213">
        <v>5726</v>
      </c>
      <c r="F21" s="213">
        <f t="shared" si="2"/>
        <v>0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4"/>
    </row>
    <row r="22" spans="1:16" ht="15" customHeight="1">
      <c r="A22" s="132" t="s">
        <v>819</v>
      </c>
      <c r="B22" s="131">
        <f>SUM(C22+F22,L22:P22)</f>
        <v>109439</v>
      </c>
      <c r="C22" s="213">
        <f>D22+E22</f>
        <v>105165</v>
      </c>
      <c r="D22" s="213">
        <v>85199</v>
      </c>
      <c r="E22" s="213">
        <v>19966</v>
      </c>
      <c r="F22" s="213">
        <f>G22+H22+I22</f>
        <v>4274</v>
      </c>
      <c r="G22" s="134"/>
      <c r="H22" s="134">
        <v>61</v>
      </c>
      <c r="I22" s="134">
        <v>4213</v>
      </c>
      <c r="J22" s="134"/>
      <c r="K22" s="134"/>
      <c r="L22" s="134"/>
      <c r="M22" s="134"/>
      <c r="N22" s="134"/>
      <c r="O22" s="134"/>
      <c r="P22" s="134"/>
    </row>
    <row r="23" spans="1:16" ht="15" customHeight="1">
      <c r="A23" s="132" t="s">
        <v>206</v>
      </c>
      <c r="B23" s="131">
        <f t="shared" si="0"/>
        <v>46653</v>
      </c>
      <c r="C23" s="213">
        <f t="shared" si="1"/>
        <v>40785</v>
      </c>
      <c r="D23" s="213">
        <v>33000</v>
      </c>
      <c r="E23" s="213">
        <v>7785</v>
      </c>
      <c r="F23" s="213">
        <f t="shared" si="2"/>
        <v>5868</v>
      </c>
      <c r="G23" s="134">
        <v>20</v>
      </c>
      <c r="H23" s="134">
        <v>2345</v>
      </c>
      <c r="I23" s="134">
        <v>3503</v>
      </c>
      <c r="J23" s="134"/>
      <c r="K23" s="134"/>
      <c r="L23" s="134"/>
      <c r="M23" s="134"/>
      <c r="N23" s="134"/>
      <c r="O23" s="134"/>
      <c r="P23" s="134"/>
    </row>
    <row r="24" spans="1:16" ht="15" customHeight="1">
      <c r="A24" s="133" t="s">
        <v>3</v>
      </c>
      <c r="B24" s="131">
        <f t="shared" si="0"/>
        <v>38050</v>
      </c>
      <c r="C24" s="213">
        <f t="shared" si="3" ref="C24:C29">D24+E24</f>
        <v>34292</v>
      </c>
      <c r="D24" s="213">
        <v>27606</v>
      </c>
      <c r="E24" s="213">
        <v>6686</v>
      </c>
      <c r="F24" s="213">
        <f t="shared" si="4" ref="F24:F51">SUM(G24:K24)</f>
        <v>3758</v>
      </c>
      <c r="G24" s="134"/>
      <c r="H24" s="134">
        <v>1651</v>
      </c>
      <c r="I24" s="134">
        <v>2006</v>
      </c>
      <c r="J24" s="134"/>
      <c r="K24" s="134">
        <v>101</v>
      </c>
      <c r="L24" s="134"/>
      <c r="M24" s="134"/>
      <c r="N24" s="134"/>
      <c r="O24" s="134"/>
      <c r="P24" s="134"/>
    </row>
    <row r="25" spans="1:16" ht="15" customHeight="1">
      <c r="A25" s="133" t="s">
        <v>95</v>
      </c>
      <c r="B25" s="131">
        <f t="shared" si="0"/>
        <v>60118</v>
      </c>
      <c r="C25" s="213">
        <f t="shared" si="3"/>
        <v>43440</v>
      </c>
      <c r="D25" s="213">
        <v>35125</v>
      </c>
      <c r="E25" s="213">
        <v>8315</v>
      </c>
      <c r="F25" s="213">
        <f t="shared" si="4"/>
        <v>16678</v>
      </c>
      <c r="G25" s="134"/>
      <c r="H25" s="134">
        <v>7695</v>
      </c>
      <c r="I25" s="134">
        <v>8983</v>
      </c>
      <c r="J25" s="134"/>
      <c r="K25" s="134"/>
      <c r="L25" s="134"/>
      <c r="M25" s="134"/>
      <c r="N25" s="134"/>
      <c r="O25" s="134"/>
      <c r="P25" s="134"/>
    </row>
    <row r="26" spans="1:16" ht="15" customHeight="1">
      <c r="A26" s="133" t="s">
        <v>4</v>
      </c>
      <c r="B26" s="131">
        <f t="shared" si="0"/>
        <v>26739</v>
      </c>
      <c r="C26" s="213">
        <f t="shared" si="3"/>
        <v>22563</v>
      </c>
      <c r="D26" s="213">
        <v>18120</v>
      </c>
      <c r="E26" s="213">
        <v>4443</v>
      </c>
      <c r="F26" s="213">
        <f t="shared" si="4"/>
        <v>4176</v>
      </c>
      <c r="G26" s="134"/>
      <c r="H26" s="134">
        <v>2836</v>
      </c>
      <c r="I26" s="134">
        <v>1340</v>
      </c>
      <c r="J26" s="134"/>
      <c r="K26" s="134"/>
      <c r="L26" s="134"/>
      <c r="M26" s="134"/>
      <c r="N26" s="134"/>
      <c r="O26" s="134"/>
      <c r="P26" s="134"/>
    </row>
    <row r="27" spans="1:16" ht="15" customHeight="1">
      <c r="A27" s="133" t="s">
        <v>5</v>
      </c>
      <c r="B27" s="254">
        <f t="shared" si="0"/>
        <v>40853</v>
      </c>
      <c r="C27" s="213">
        <f t="shared" si="3"/>
        <v>33894</v>
      </c>
      <c r="D27" s="213">
        <v>27201</v>
      </c>
      <c r="E27" s="213">
        <v>6693</v>
      </c>
      <c r="F27" s="213">
        <f t="shared" si="4"/>
        <v>6959</v>
      </c>
      <c r="G27" s="134"/>
      <c r="H27" s="134">
        <v>3483</v>
      </c>
      <c r="I27" s="134">
        <v>3160</v>
      </c>
      <c r="J27" s="134"/>
      <c r="K27" s="134">
        <v>316</v>
      </c>
      <c r="L27" s="134"/>
      <c r="M27" s="134"/>
      <c r="N27" s="134"/>
      <c r="O27" s="134"/>
      <c r="P27" s="134"/>
    </row>
    <row r="28" spans="1:16" ht="15" customHeight="1">
      <c r="A28" s="133" t="s">
        <v>6</v>
      </c>
      <c r="B28" s="131">
        <f t="shared" si="0"/>
        <v>24622</v>
      </c>
      <c r="C28" s="213">
        <f t="shared" si="3"/>
        <v>18878</v>
      </c>
      <c r="D28" s="213">
        <v>15228</v>
      </c>
      <c r="E28" s="213">
        <v>3650</v>
      </c>
      <c r="F28" s="213">
        <f t="shared" si="4"/>
        <v>5744</v>
      </c>
      <c r="G28" s="134"/>
      <c r="H28" s="134">
        <v>2274</v>
      </c>
      <c r="I28" s="134">
        <v>3470</v>
      </c>
      <c r="J28" s="134"/>
      <c r="K28" s="134"/>
      <c r="L28" s="134"/>
      <c r="M28" s="134"/>
      <c r="N28" s="134"/>
      <c r="O28" s="134"/>
      <c r="P28" s="134"/>
    </row>
    <row r="29" spans="1:16" ht="15" customHeight="1">
      <c r="A29" s="133" t="s">
        <v>7</v>
      </c>
      <c r="B29" s="131">
        <f t="shared" si="0"/>
        <v>32348</v>
      </c>
      <c r="C29" s="213">
        <f t="shared" si="3"/>
        <v>27797</v>
      </c>
      <c r="D29" s="213">
        <v>22258</v>
      </c>
      <c r="E29" s="213">
        <v>5539</v>
      </c>
      <c r="F29" s="213">
        <f t="shared" si="4"/>
        <v>4551</v>
      </c>
      <c r="G29" s="134">
        <v>40</v>
      </c>
      <c r="H29" s="134">
        <v>2801</v>
      </c>
      <c r="I29" s="134">
        <v>1500</v>
      </c>
      <c r="J29" s="134"/>
      <c r="K29" s="134">
        <v>210</v>
      </c>
      <c r="L29" s="134"/>
      <c r="M29" s="134"/>
      <c r="N29" s="134"/>
      <c r="O29" s="134"/>
      <c r="P29" s="134"/>
    </row>
    <row r="30" spans="1:16" ht="15" customHeight="1">
      <c r="A30" s="133" t="s">
        <v>8</v>
      </c>
      <c r="B30" s="131">
        <f t="shared" si="0"/>
        <v>40674</v>
      </c>
      <c r="C30" s="213">
        <f>D30+E30</f>
        <v>31818</v>
      </c>
      <c r="D30" s="213">
        <v>25517</v>
      </c>
      <c r="E30" s="213">
        <v>6301</v>
      </c>
      <c r="F30" s="213">
        <f t="shared" si="4"/>
        <v>8856</v>
      </c>
      <c r="G30" s="134"/>
      <c r="H30" s="134">
        <v>4857</v>
      </c>
      <c r="I30" s="134">
        <v>3855</v>
      </c>
      <c r="J30" s="134"/>
      <c r="K30" s="134">
        <v>144</v>
      </c>
      <c r="L30" s="134"/>
      <c r="M30" s="134"/>
      <c r="N30" s="134"/>
      <c r="O30" s="134"/>
      <c r="P30" s="134"/>
    </row>
    <row r="31" spans="1:16" ht="15" customHeight="1">
      <c r="A31" s="133" t="s">
        <v>96</v>
      </c>
      <c r="B31" s="131">
        <f t="shared" si="0"/>
        <v>44556</v>
      </c>
      <c r="C31" s="213">
        <f>D31+E31</f>
        <v>27612</v>
      </c>
      <c r="D31" s="213">
        <v>22311</v>
      </c>
      <c r="E31" s="213">
        <v>5301</v>
      </c>
      <c r="F31" s="213">
        <f t="shared" si="4"/>
        <v>16944</v>
      </c>
      <c r="G31" s="134"/>
      <c r="H31" s="134">
        <f>1300+12000</f>
        <v>13300</v>
      </c>
      <c r="I31" s="134">
        <f>3644</f>
        <v>3644</v>
      </c>
      <c r="J31" s="134"/>
      <c r="K31" s="134"/>
      <c r="L31" s="134"/>
      <c r="M31" s="134"/>
      <c r="N31" s="134"/>
      <c r="O31" s="134"/>
      <c r="P31" s="134"/>
    </row>
    <row r="32" spans="1:16" ht="15" customHeight="1">
      <c r="A32" s="133" t="s">
        <v>137</v>
      </c>
      <c r="B32" s="131">
        <f t="shared" si="0"/>
        <v>30856</v>
      </c>
      <c r="C32" s="213">
        <f>D32+E32</f>
        <v>25563</v>
      </c>
      <c r="D32" s="213">
        <v>20628</v>
      </c>
      <c r="E32" s="213">
        <v>4935</v>
      </c>
      <c r="F32" s="213">
        <f t="shared" si="4"/>
        <v>5293</v>
      </c>
      <c r="G32" s="134">
        <v>32</v>
      </c>
      <c r="H32" s="134">
        <v>4111</v>
      </c>
      <c r="I32" s="134">
        <v>1150</v>
      </c>
      <c r="J32" s="134"/>
      <c r="K32" s="134"/>
      <c r="L32" s="134"/>
      <c r="M32" s="134"/>
      <c r="N32" s="134"/>
      <c r="O32" s="134"/>
      <c r="P32" s="134"/>
    </row>
    <row r="33" spans="1:16" ht="15" customHeight="1">
      <c r="A33" s="133" t="s">
        <v>9</v>
      </c>
      <c r="B33" s="131">
        <f t="shared" si="0"/>
        <v>20735</v>
      </c>
      <c r="C33" s="213">
        <f>D33+E33</f>
        <v>18326</v>
      </c>
      <c r="D33" s="213">
        <v>14640</v>
      </c>
      <c r="E33" s="213">
        <v>3686</v>
      </c>
      <c r="F33" s="213">
        <f t="shared" si="4"/>
        <v>2409</v>
      </c>
      <c r="G33" s="134"/>
      <c r="H33" s="134">
        <v>964</v>
      </c>
      <c r="I33" s="134">
        <v>1445</v>
      </c>
      <c r="J33" s="134"/>
      <c r="K33" s="134"/>
      <c r="L33" s="134"/>
      <c r="M33" s="134"/>
      <c r="N33" s="134"/>
      <c r="O33" s="134"/>
      <c r="P33" s="134"/>
    </row>
    <row r="34" spans="1:16" ht="15" customHeight="1">
      <c r="A34" s="133" t="s">
        <v>97</v>
      </c>
      <c r="B34" s="131">
        <f t="shared" si="0"/>
        <v>34119</v>
      </c>
      <c r="C34" s="213">
        <f>D34+E34</f>
        <v>26542</v>
      </c>
      <c r="D34" s="213">
        <v>21450</v>
      </c>
      <c r="E34" s="213">
        <v>5092</v>
      </c>
      <c r="F34" s="213">
        <f t="shared" si="4"/>
        <v>7577</v>
      </c>
      <c r="G34" s="134"/>
      <c r="H34" s="134">
        <v>4641</v>
      </c>
      <c r="I34" s="134">
        <v>2710</v>
      </c>
      <c r="J34" s="134"/>
      <c r="K34" s="134">
        <v>226</v>
      </c>
      <c r="L34" s="134"/>
      <c r="M34" s="134"/>
      <c r="N34" s="134"/>
      <c r="O34" s="134"/>
      <c r="P34" s="134"/>
    </row>
    <row r="35" spans="1:16" ht="15" customHeight="1">
      <c r="A35" s="133" t="s">
        <v>138</v>
      </c>
      <c r="B35" s="131">
        <f t="shared" si="0"/>
        <v>38492</v>
      </c>
      <c r="C35" s="213">
        <f>D35++E35</f>
        <v>26241</v>
      </c>
      <c r="D35" s="213">
        <v>21120</v>
      </c>
      <c r="E35" s="213">
        <v>5121</v>
      </c>
      <c r="F35" s="213">
        <f t="shared" si="4"/>
        <v>12251</v>
      </c>
      <c r="G35" s="134">
        <v>40</v>
      </c>
      <c r="H35" s="134">
        <v>8558</v>
      </c>
      <c r="I35" s="134">
        <v>3460</v>
      </c>
      <c r="J35" s="134"/>
      <c r="K35" s="134">
        <v>193</v>
      </c>
      <c r="L35" s="134"/>
      <c r="M35" s="134"/>
      <c r="N35" s="134"/>
      <c r="O35" s="134"/>
      <c r="P35" s="134"/>
    </row>
    <row r="36" spans="1:16" ht="15" customHeight="1">
      <c r="A36" s="133" t="s">
        <v>98</v>
      </c>
      <c r="B36" s="131">
        <f t="shared" si="0"/>
        <v>20500</v>
      </c>
      <c r="C36" s="213">
        <f t="shared" si="5" ref="C36:C43">D36+E36</f>
        <v>13530</v>
      </c>
      <c r="D36" s="213">
        <v>10912</v>
      </c>
      <c r="E36" s="213">
        <v>2618</v>
      </c>
      <c r="F36" s="213">
        <f t="shared" si="4"/>
        <v>6970</v>
      </c>
      <c r="G36" s="134"/>
      <c r="H36" s="134">
        <v>5600</v>
      </c>
      <c r="I36" s="134">
        <v>1370</v>
      </c>
      <c r="J36" s="134"/>
      <c r="K36" s="134"/>
      <c r="L36" s="134"/>
      <c r="M36" s="134"/>
      <c r="N36" s="134"/>
      <c r="O36" s="134"/>
      <c r="P36" s="134"/>
    </row>
    <row r="37" spans="1:16" ht="15" customHeight="1">
      <c r="A37" s="133" t="s">
        <v>99</v>
      </c>
      <c r="B37" s="131">
        <f t="shared" si="0"/>
        <v>44173</v>
      </c>
      <c r="C37" s="213">
        <f t="shared" si="5"/>
        <v>36281</v>
      </c>
      <c r="D37" s="213">
        <v>29320</v>
      </c>
      <c r="E37" s="213">
        <v>6961</v>
      </c>
      <c r="F37" s="213">
        <f t="shared" si="4"/>
        <v>7892</v>
      </c>
      <c r="G37" s="134"/>
      <c r="H37" s="134">
        <v>2205</v>
      </c>
      <c r="I37" s="134">
        <v>5413</v>
      </c>
      <c r="J37" s="134"/>
      <c r="K37" s="134">
        <v>274</v>
      </c>
      <c r="L37" s="134"/>
      <c r="M37" s="134"/>
      <c r="N37" s="134"/>
      <c r="O37" s="134"/>
      <c r="P37" s="134"/>
    </row>
    <row r="38" spans="1:16" ht="15" customHeight="1">
      <c r="A38" s="133" t="s">
        <v>10</v>
      </c>
      <c r="B38" s="131">
        <f t="shared" si="0"/>
        <v>36393</v>
      </c>
      <c r="C38" s="213">
        <f t="shared" si="5"/>
        <v>31017</v>
      </c>
      <c r="D38" s="213">
        <v>25015</v>
      </c>
      <c r="E38" s="213">
        <v>6002</v>
      </c>
      <c r="F38" s="213">
        <f t="shared" si="4"/>
        <v>5376</v>
      </c>
      <c r="G38" s="134">
        <v>80</v>
      </c>
      <c r="H38" s="134">
        <v>3240</v>
      </c>
      <c r="I38" s="134">
        <v>1846</v>
      </c>
      <c r="J38" s="134"/>
      <c r="K38" s="134">
        <v>210</v>
      </c>
      <c r="L38" s="134"/>
      <c r="M38" s="134"/>
      <c r="N38" s="134"/>
      <c r="O38" s="134"/>
      <c r="P38" s="134"/>
    </row>
    <row r="39" spans="1:16" ht="15" customHeight="1">
      <c r="A39" s="133" t="s">
        <v>11</v>
      </c>
      <c r="B39" s="131">
        <f t="shared" si="0"/>
        <v>30369</v>
      </c>
      <c r="C39" s="213">
        <f t="shared" si="5"/>
        <v>26414</v>
      </c>
      <c r="D39" s="213">
        <v>21317</v>
      </c>
      <c r="E39" s="213">
        <v>5097</v>
      </c>
      <c r="F39" s="213">
        <f t="shared" si="4"/>
        <v>3955</v>
      </c>
      <c r="G39" s="134"/>
      <c r="H39" s="134">
        <v>2287</v>
      </c>
      <c r="I39" s="134">
        <v>1408</v>
      </c>
      <c r="J39" s="134"/>
      <c r="K39" s="134">
        <v>260</v>
      </c>
      <c r="L39" s="134"/>
      <c r="M39" s="134"/>
      <c r="N39" s="134"/>
      <c r="O39" s="134"/>
      <c r="P39" s="134"/>
    </row>
    <row r="40" spans="1:16" ht="15" customHeight="1">
      <c r="A40" s="133" t="s">
        <v>100</v>
      </c>
      <c r="B40" s="131">
        <f t="shared" si="0"/>
        <v>31242</v>
      </c>
      <c r="C40" s="213">
        <f t="shared" si="5"/>
        <v>24951</v>
      </c>
      <c r="D40" s="213">
        <v>20077</v>
      </c>
      <c r="E40" s="213">
        <v>4874</v>
      </c>
      <c r="F40" s="213">
        <f t="shared" si="4"/>
        <v>6291</v>
      </c>
      <c r="G40" s="134"/>
      <c r="H40" s="134">
        <v>4386</v>
      </c>
      <c r="I40" s="134">
        <v>1485</v>
      </c>
      <c r="J40" s="134"/>
      <c r="K40" s="134">
        <v>420</v>
      </c>
      <c r="L40" s="134"/>
      <c r="M40" s="134"/>
      <c r="N40" s="134"/>
      <c r="O40" s="134"/>
      <c r="P40" s="134"/>
    </row>
    <row r="41" spans="1:16" ht="15" customHeight="1">
      <c r="A41" s="133" t="s">
        <v>12</v>
      </c>
      <c r="B41" s="131">
        <f t="shared" si="0"/>
        <v>39073</v>
      </c>
      <c r="C41" s="213">
        <f t="shared" si="5"/>
        <v>31541</v>
      </c>
      <c r="D41" s="213">
        <v>25414</v>
      </c>
      <c r="E41" s="213">
        <v>6127</v>
      </c>
      <c r="F41" s="213">
        <f t="shared" si="4"/>
        <v>7532</v>
      </c>
      <c r="G41" s="134"/>
      <c r="H41" s="134">
        <v>2962</v>
      </c>
      <c r="I41" s="134">
        <v>4370</v>
      </c>
      <c r="J41" s="134"/>
      <c r="K41" s="134">
        <v>200</v>
      </c>
      <c r="L41" s="134"/>
      <c r="M41" s="134"/>
      <c r="N41" s="134"/>
      <c r="O41" s="134"/>
      <c r="P41" s="134"/>
    </row>
    <row r="42" spans="1:16" ht="15" customHeight="1">
      <c r="A42" s="133" t="s">
        <v>93</v>
      </c>
      <c r="B42" s="131">
        <f t="shared" si="0"/>
        <v>51579</v>
      </c>
      <c r="C42" s="213">
        <f t="shared" si="5"/>
        <v>30858</v>
      </c>
      <c r="D42" s="213">
        <v>24810</v>
      </c>
      <c r="E42" s="213">
        <v>6048</v>
      </c>
      <c r="F42" s="213">
        <f t="shared" si="4"/>
        <v>20721</v>
      </c>
      <c r="G42" s="134"/>
      <c r="H42" s="134">
        <v>17236</v>
      </c>
      <c r="I42" s="134">
        <v>3320</v>
      </c>
      <c r="J42" s="134"/>
      <c r="K42" s="134">
        <v>165</v>
      </c>
      <c r="L42" s="134"/>
      <c r="M42" s="134"/>
      <c r="N42" s="134"/>
      <c r="O42" s="134"/>
      <c r="P42" s="134"/>
    </row>
    <row r="43" spans="1:16" ht="15" customHeight="1">
      <c r="A43" s="133" t="s">
        <v>101</v>
      </c>
      <c r="B43" s="131">
        <f t="shared" si="0"/>
        <v>34189</v>
      </c>
      <c r="C43" s="213">
        <f t="shared" si="5"/>
        <v>26734</v>
      </c>
      <c r="D43" s="213">
        <v>21600</v>
      </c>
      <c r="E43" s="213">
        <v>5134</v>
      </c>
      <c r="F43" s="213">
        <f t="shared" si="4"/>
        <v>7455</v>
      </c>
      <c r="G43" s="134"/>
      <c r="H43" s="134">
        <v>2123</v>
      </c>
      <c r="I43" s="134">
        <v>5122</v>
      </c>
      <c r="J43" s="134"/>
      <c r="K43" s="134">
        <v>210</v>
      </c>
      <c r="L43" s="134"/>
      <c r="M43" s="134"/>
      <c r="N43" s="134"/>
      <c r="O43" s="134"/>
      <c r="P43" s="134"/>
    </row>
    <row r="44" spans="1:16" ht="30" customHeight="1">
      <c r="A44" s="133" t="s">
        <v>94</v>
      </c>
      <c r="B44" s="131">
        <f>SUM(C44+F44,L44:P44)</f>
        <v>97041</v>
      </c>
      <c r="C44" s="213">
        <f>D44+E44</f>
        <v>79592</v>
      </c>
      <c r="D44" s="213">
        <v>64402</v>
      </c>
      <c r="E44" s="213">
        <v>15190</v>
      </c>
      <c r="F44" s="213">
        <f>SUM(G44:K44)</f>
        <v>12234</v>
      </c>
      <c r="G44" s="134">
        <v>50</v>
      </c>
      <c r="H44" s="134">
        <v>9934</v>
      </c>
      <c r="I44" s="134">
        <v>2250</v>
      </c>
      <c r="J44" s="134"/>
      <c r="K44" s="134"/>
      <c r="L44" s="134"/>
      <c r="M44" s="134"/>
      <c r="N44" s="134"/>
      <c r="O44" s="134"/>
      <c r="P44" s="134">
        <v>5215</v>
      </c>
    </row>
    <row r="45" spans="1:16" ht="15" customHeight="1">
      <c r="A45" s="133" t="s">
        <v>13</v>
      </c>
      <c r="B45" s="131">
        <f>SUM(C45:F45,L45:P45)</f>
        <v>5700</v>
      </c>
      <c r="C45" s="213"/>
      <c r="D45" s="213"/>
      <c r="E45" s="213"/>
      <c r="F45" s="213">
        <f t="shared" si="4"/>
        <v>5700</v>
      </c>
      <c r="G45" s="134"/>
      <c r="H45" s="134">
        <f>6000-300</f>
        <v>5700</v>
      </c>
      <c r="I45" s="134"/>
      <c r="J45" s="134"/>
      <c r="K45" s="134"/>
      <c r="L45" s="134"/>
      <c r="M45" s="134"/>
      <c r="N45" s="134"/>
      <c r="O45" s="134"/>
      <c r="P45" s="134"/>
    </row>
    <row r="46" spans="1:16" ht="15" customHeight="1">
      <c r="A46" s="133" t="s">
        <v>14</v>
      </c>
      <c r="B46" s="131">
        <f>SUM(C46+F46,L46:P46)</f>
        <v>41674</v>
      </c>
      <c r="C46" s="213"/>
      <c r="D46" s="213"/>
      <c r="E46" s="213"/>
      <c r="F46" s="213">
        <f t="shared" si="4"/>
        <v>38274</v>
      </c>
      <c r="G46" s="134"/>
      <c r="H46" s="134">
        <f>41674-3400</f>
        <v>38274</v>
      </c>
      <c r="I46" s="134"/>
      <c r="J46" s="134"/>
      <c r="K46" s="134"/>
      <c r="L46" s="134">
        <v>3400</v>
      </c>
      <c r="M46" s="134"/>
      <c r="N46" s="134"/>
      <c r="O46" s="134"/>
      <c r="P46" s="134"/>
    </row>
    <row r="47" spans="1:16" ht="30" customHeight="1">
      <c r="A47" s="133" t="s">
        <v>184</v>
      </c>
      <c r="B47" s="131">
        <f t="shared" si="6" ref="B47:B50">SUM(C47+F47,L47:P47)</f>
        <v>881967</v>
      </c>
      <c r="C47" s="213"/>
      <c r="D47" s="213"/>
      <c r="E47" s="213"/>
      <c r="F47" s="213">
        <f t="shared" si="4"/>
        <v>21746</v>
      </c>
      <c r="G47" s="134"/>
      <c r="H47" s="134">
        <v>21746</v>
      </c>
      <c r="I47" s="134"/>
      <c r="J47" s="134"/>
      <c r="K47" s="134"/>
      <c r="L47" s="134"/>
      <c r="M47" s="134">
        <v>860221</v>
      </c>
      <c r="N47" s="134"/>
      <c r="O47" s="134"/>
      <c r="P47" s="134"/>
    </row>
    <row r="48" spans="1:16" ht="15" customHeight="1">
      <c r="A48" s="133" t="s">
        <v>15</v>
      </c>
      <c r="B48" s="131">
        <f t="shared" si="6"/>
        <v>75861</v>
      </c>
      <c r="C48" s="213">
        <f>D48+E48</f>
        <v>56841</v>
      </c>
      <c r="D48" s="213">
        <f>43987</f>
        <v>43987</v>
      </c>
      <c r="E48" s="213">
        <f>12854</f>
        <v>12854</v>
      </c>
      <c r="F48" s="213">
        <f t="shared" si="4"/>
        <v>19020</v>
      </c>
      <c r="G48" s="134">
        <v>140</v>
      </c>
      <c r="H48" s="134">
        <v>15455</v>
      </c>
      <c r="I48" s="134">
        <v>3425</v>
      </c>
      <c r="J48" s="134"/>
      <c r="K48" s="134"/>
      <c r="L48" s="134"/>
      <c r="M48" s="134"/>
      <c r="N48" s="134"/>
      <c r="O48" s="134"/>
      <c r="P48" s="134"/>
    </row>
    <row r="49" spans="1:16" ht="15" customHeight="1">
      <c r="A49" s="135" t="s">
        <v>16</v>
      </c>
      <c r="B49" s="131">
        <f t="shared" si="6"/>
        <v>181947</v>
      </c>
      <c r="C49" s="213">
        <f>D49+E49</f>
        <v>161849</v>
      </c>
      <c r="D49" s="213">
        <v>131916</v>
      </c>
      <c r="E49" s="213">
        <v>29933</v>
      </c>
      <c r="F49" s="213">
        <f t="shared" si="4"/>
        <v>19318</v>
      </c>
      <c r="G49" s="134">
        <v>130</v>
      </c>
      <c r="H49" s="134">
        <v>8208</v>
      </c>
      <c r="I49" s="134">
        <v>10830</v>
      </c>
      <c r="J49" s="134"/>
      <c r="K49" s="134">
        <v>150</v>
      </c>
      <c r="L49" s="134"/>
      <c r="M49" s="134"/>
      <c r="N49" s="134">
        <v>780</v>
      </c>
      <c r="O49" s="134"/>
      <c r="P49" s="134"/>
    </row>
    <row r="50" spans="1:16" ht="15" customHeight="1">
      <c r="A50" s="130" t="s">
        <v>60</v>
      </c>
      <c r="B50" s="131">
        <f t="shared" si="6"/>
        <v>64886</v>
      </c>
      <c r="C50" s="213">
        <f>D50+E50</f>
        <v>60186</v>
      </c>
      <c r="D50" s="213">
        <v>48241</v>
      </c>
      <c r="E50" s="213">
        <v>11945</v>
      </c>
      <c r="F50" s="213">
        <f t="shared" si="4"/>
        <v>4700</v>
      </c>
      <c r="G50" s="134"/>
      <c r="H50" s="134">
        <v>3920</v>
      </c>
      <c r="I50" s="134">
        <f>780-150</f>
        <v>630</v>
      </c>
      <c r="J50" s="134"/>
      <c r="K50" s="134">
        <v>150</v>
      </c>
      <c r="L50" s="134"/>
      <c r="M50" s="134"/>
      <c r="N50" s="134"/>
      <c r="O50" s="134"/>
      <c r="P50" s="134"/>
    </row>
    <row r="51" spans="1:16" ht="15" customHeight="1">
      <c r="A51" s="133" t="s">
        <v>17</v>
      </c>
      <c r="B51" s="131">
        <f>SUM(C51+F51,L51:P51)</f>
        <v>59824</v>
      </c>
      <c r="C51" s="213">
        <f>D51+E51</f>
        <v>58119</v>
      </c>
      <c r="D51" s="213">
        <v>46338</v>
      </c>
      <c r="E51" s="213">
        <v>11781</v>
      </c>
      <c r="F51" s="213">
        <f t="shared" si="4"/>
        <v>1705</v>
      </c>
      <c r="G51" s="134">
        <v>150</v>
      </c>
      <c r="H51" s="134">
        <f>705</f>
        <v>705</v>
      </c>
      <c r="I51" s="134">
        <v>850</v>
      </c>
      <c r="J51" s="134"/>
      <c r="K51" s="134"/>
      <c r="L51" s="134"/>
      <c r="M51" s="134"/>
      <c r="N51" s="134"/>
      <c r="O51" s="134"/>
      <c r="P51" s="134"/>
    </row>
    <row r="52" spans="1:16" ht="15" customHeight="1">
      <c r="A52" s="133" t="s">
        <v>18</v>
      </c>
      <c r="B52" s="131">
        <f>SUM(C52:F52,L52:P52)</f>
        <v>90000</v>
      </c>
      <c r="C52" s="213"/>
      <c r="D52" s="213"/>
      <c r="E52" s="213"/>
      <c r="F52" s="213">
        <f>SUM(G52:K52)</f>
        <v>90000</v>
      </c>
      <c r="G52" s="134"/>
      <c r="H52" s="134"/>
      <c r="I52" s="134"/>
      <c r="J52" s="134"/>
      <c r="K52" s="134">
        <v>90000</v>
      </c>
      <c r="L52" s="134"/>
      <c r="M52" s="134"/>
      <c r="N52" s="134"/>
      <c r="O52" s="134"/>
      <c r="P52" s="134"/>
    </row>
    <row r="53" spans="1:16" ht="30" customHeight="1">
      <c r="A53" s="133" t="s">
        <v>63</v>
      </c>
      <c r="B53" s="131">
        <f>SUM(C53:F53,L53:P53)</f>
        <v>3721</v>
      </c>
      <c r="C53" s="213"/>
      <c r="D53" s="213"/>
      <c r="E53" s="213"/>
      <c r="F53" s="213">
        <f>SUM(G53:K53)</f>
        <v>0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4">
        <f>3244+477</f>
        <v>3721</v>
      </c>
    </row>
    <row r="54" spans="1:16" ht="30" customHeight="1">
      <c r="A54" s="133" t="s">
        <v>65</v>
      </c>
      <c r="B54" s="131">
        <f>SUM(C54+F54,L54:P54)</f>
        <v>93707</v>
      </c>
      <c r="C54" s="213">
        <f>D54+E54</f>
        <v>61140</v>
      </c>
      <c r="D54" s="213">
        <v>49282</v>
      </c>
      <c r="E54" s="213">
        <v>11858</v>
      </c>
      <c r="F54" s="213">
        <f t="shared" si="7" ref="F54:F83">SUM(G54:K54)</f>
        <v>32567</v>
      </c>
      <c r="G54" s="134">
        <v>520</v>
      </c>
      <c r="H54" s="134">
        <v>28147</v>
      </c>
      <c r="I54" s="134">
        <v>3900</v>
      </c>
      <c r="J54" s="134"/>
      <c r="K54" s="134"/>
      <c r="L54" s="134"/>
      <c r="M54" s="134"/>
      <c r="N54" s="134"/>
      <c r="O54" s="134"/>
      <c r="P54" s="134"/>
    </row>
    <row r="55" spans="1:16" ht="15" customHeight="1">
      <c r="A55" s="133" t="s">
        <v>191</v>
      </c>
      <c r="B55" s="131">
        <f>SUM(C55:F55,L55:P55)</f>
        <v>50000</v>
      </c>
      <c r="C55" s="213"/>
      <c r="D55" s="213"/>
      <c r="E55" s="213"/>
      <c r="F55" s="213">
        <f t="shared" si="7"/>
        <v>0</v>
      </c>
      <c r="G55" s="134"/>
      <c r="H55" s="134"/>
      <c r="I55" s="134"/>
      <c r="J55" s="134"/>
      <c r="K55" s="134"/>
      <c r="L55" s="134">
        <v>50000</v>
      </c>
      <c r="M55" s="134"/>
      <c r="N55" s="134"/>
      <c r="O55" s="134"/>
      <c r="P55" s="134"/>
    </row>
    <row r="56" spans="1:16" ht="30" customHeight="1">
      <c r="A56" s="132" t="s">
        <v>68</v>
      </c>
      <c r="B56" s="131">
        <f>SUM(C56:F56,L56:P56)</f>
        <v>104110</v>
      </c>
      <c r="C56" s="213"/>
      <c r="D56" s="213"/>
      <c r="E56" s="213"/>
      <c r="F56" s="213">
        <f t="shared" si="7"/>
        <v>66725</v>
      </c>
      <c r="G56" s="134"/>
      <c r="H56" s="134">
        <f>103910-37385</f>
        <v>66525</v>
      </c>
      <c r="I56" s="134">
        <v>200</v>
      </c>
      <c r="J56" s="134"/>
      <c r="K56" s="134"/>
      <c r="L56" s="134"/>
      <c r="M56" s="134"/>
      <c r="N56" s="134">
        <v>37385</v>
      </c>
      <c r="O56" s="134"/>
      <c r="P56" s="134"/>
    </row>
    <row r="57" spans="1:16" ht="30" customHeight="1">
      <c r="A57" s="132" t="s">
        <v>223</v>
      </c>
      <c r="B57" s="131">
        <f t="shared" si="8" ref="B57:B77">SUM(C57+F57,L57:P57)</f>
        <v>65579</v>
      </c>
      <c r="C57" s="213"/>
      <c r="D57" s="213"/>
      <c r="E57" s="213"/>
      <c r="F57" s="213">
        <f t="shared" si="7"/>
        <v>65579</v>
      </c>
      <c r="G57" s="134"/>
      <c r="H57" s="134">
        <v>47974</v>
      </c>
      <c r="I57" s="134">
        <v>17605</v>
      </c>
      <c r="J57" s="134"/>
      <c r="K57" s="134"/>
      <c r="L57" s="134"/>
      <c r="M57" s="134"/>
      <c r="N57" s="134"/>
      <c r="O57" s="134"/>
      <c r="P57" s="134"/>
    </row>
    <row r="58" spans="1:16" ht="30" customHeight="1">
      <c r="A58" s="130" t="s">
        <v>69</v>
      </c>
      <c r="B58" s="131">
        <f t="shared" si="8"/>
        <v>28549</v>
      </c>
      <c r="C58" s="213"/>
      <c r="D58" s="213"/>
      <c r="E58" s="213"/>
      <c r="F58" s="213">
        <f t="shared" si="7"/>
        <v>28549</v>
      </c>
      <c r="G58" s="134"/>
      <c r="H58" s="134">
        <v>23749</v>
      </c>
      <c r="I58" s="134">
        <v>4800</v>
      </c>
      <c r="J58" s="134"/>
      <c r="K58" s="134"/>
      <c r="L58" s="134"/>
      <c r="M58" s="134"/>
      <c r="N58" s="134"/>
      <c r="O58" s="134"/>
      <c r="P58" s="134"/>
    </row>
    <row r="59" spans="1:16" ht="30" customHeight="1">
      <c r="A59" s="130" t="s">
        <v>70</v>
      </c>
      <c r="B59" s="131">
        <f t="shared" si="8"/>
        <v>24752</v>
      </c>
      <c r="C59" s="213"/>
      <c r="D59" s="213"/>
      <c r="E59" s="213"/>
      <c r="F59" s="213">
        <f t="shared" si="7"/>
        <v>24752</v>
      </c>
      <c r="G59" s="134"/>
      <c r="H59" s="134">
        <v>23702</v>
      </c>
      <c r="I59" s="134">
        <v>1050</v>
      </c>
      <c r="J59" s="134"/>
      <c r="K59" s="134"/>
      <c r="L59" s="134"/>
      <c r="M59" s="134"/>
      <c r="N59" s="134"/>
      <c r="O59" s="134"/>
      <c r="P59" s="134"/>
    </row>
    <row r="60" spans="1:16" ht="30" customHeight="1">
      <c r="A60" s="130" t="s">
        <v>71</v>
      </c>
      <c r="B60" s="131">
        <f>SUM(C60+F60,L60:P60)</f>
        <v>69706</v>
      </c>
      <c r="C60" s="213"/>
      <c r="D60" s="213"/>
      <c r="E60" s="213"/>
      <c r="F60" s="213">
        <f>SUM(G60:K60)</f>
        <v>59384</v>
      </c>
      <c r="G60" s="134"/>
      <c r="H60" s="134">
        <f>61506-4322</f>
        <v>57184</v>
      </c>
      <c r="I60" s="134">
        <v>2200</v>
      </c>
      <c r="J60" s="134"/>
      <c r="K60" s="134"/>
      <c r="L60" s="134"/>
      <c r="M60" s="134"/>
      <c r="N60" s="134">
        <f>6000+4322</f>
        <v>10322</v>
      </c>
      <c r="O60" s="134"/>
      <c r="P60" s="134"/>
    </row>
    <row r="61" spans="1:16" ht="30" customHeight="1">
      <c r="A61" s="130" t="s">
        <v>72</v>
      </c>
      <c r="B61" s="131">
        <f t="shared" si="8"/>
        <v>37968</v>
      </c>
      <c r="C61" s="213"/>
      <c r="D61" s="213"/>
      <c r="E61" s="213"/>
      <c r="F61" s="213">
        <f t="shared" si="7"/>
        <v>37968</v>
      </c>
      <c r="G61" s="134"/>
      <c r="H61" s="134">
        <v>36748</v>
      </c>
      <c r="I61" s="134">
        <v>1220</v>
      </c>
      <c r="J61" s="134"/>
      <c r="K61" s="134"/>
      <c r="L61" s="134"/>
      <c r="M61" s="134"/>
      <c r="N61" s="134"/>
      <c r="O61" s="134"/>
      <c r="P61" s="134"/>
    </row>
    <row r="62" spans="1:16" ht="30" customHeight="1">
      <c r="A62" s="130" t="s">
        <v>73</v>
      </c>
      <c r="B62" s="131">
        <f t="shared" si="8"/>
        <v>25188</v>
      </c>
      <c r="C62" s="213"/>
      <c r="D62" s="213"/>
      <c r="E62" s="213"/>
      <c r="F62" s="213">
        <f t="shared" si="7"/>
        <v>25188</v>
      </c>
      <c r="G62" s="134"/>
      <c r="H62" s="134">
        <v>23778</v>
      </c>
      <c r="I62" s="134">
        <v>1410</v>
      </c>
      <c r="J62" s="134"/>
      <c r="K62" s="134"/>
      <c r="L62" s="134"/>
      <c r="M62" s="134"/>
      <c r="N62" s="134"/>
      <c r="O62" s="134"/>
      <c r="P62" s="134"/>
    </row>
    <row r="63" spans="1:16" ht="30" customHeight="1">
      <c r="A63" s="130" t="s">
        <v>74</v>
      </c>
      <c r="B63" s="131">
        <f t="shared" si="8"/>
        <v>34470</v>
      </c>
      <c r="C63" s="213"/>
      <c r="D63" s="213"/>
      <c r="E63" s="213"/>
      <c r="F63" s="213">
        <f t="shared" si="7"/>
        <v>34470</v>
      </c>
      <c r="G63" s="134"/>
      <c r="H63" s="134">
        <f>34370-2306</f>
        <v>32064</v>
      </c>
      <c r="I63" s="134">
        <f>100+2306</f>
        <v>2406</v>
      </c>
      <c r="J63" s="134"/>
      <c r="K63" s="134"/>
      <c r="L63" s="134"/>
      <c r="M63" s="134"/>
      <c r="N63" s="134"/>
      <c r="O63" s="134"/>
      <c r="P63" s="134"/>
    </row>
    <row r="64" spans="1:16" ht="30" customHeight="1">
      <c r="A64" s="130" t="s">
        <v>221</v>
      </c>
      <c r="B64" s="131">
        <f t="shared" si="8"/>
        <v>17215</v>
      </c>
      <c r="C64" s="213"/>
      <c r="D64" s="213"/>
      <c r="E64" s="213"/>
      <c r="F64" s="213">
        <f t="shared" si="7"/>
        <v>17215</v>
      </c>
      <c r="G64" s="134"/>
      <c r="H64" s="134">
        <v>13015</v>
      </c>
      <c r="I64" s="134">
        <v>4200</v>
      </c>
      <c r="J64" s="134"/>
      <c r="K64" s="134"/>
      <c r="L64" s="134"/>
      <c r="M64" s="134"/>
      <c r="N64" s="134"/>
      <c r="O64" s="134"/>
      <c r="P64" s="134"/>
    </row>
    <row r="65" spans="1:16" ht="30" customHeight="1">
      <c r="A65" s="130" t="s">
        <v>75</v>
      </c>
      <c r="B65" s="131">
        <f t="shared" si="8"/>
        <v>15475</v>
      </c>
      <c r="C65" s="213"/>
      <c r="D65" s="213"/>
      <c r="E65" s="213"/>
      <c r="F65" s="213">
        <f t="shared" si="7"/>
        <v>15475</v>
      </c>
      <c r="G65" s="134"/>
      <c r="H65" s="134">
        <v>15295</v>
      </c>
      <c r="I65" s="134">
        <v>180</v>
      </c>
      <c r="J65" s="134"/>
      <c r="K65" s="134"/>
      <c r="L65" s="134"/>
      <c r="M65" s="134"/>
      <c r="N65" s="134"/>
      <c r="O65" s="134"/>
      <c r="P65" s="134"/>
    </row>
    <row r="66" spans="1:16" ht="41.25" customHeight="1">
      <c r="A66" s="130" t="s">
        <v>759</v>
      </c>
      <c r="B66" s="131">
        <f>SUM(C66+F66,L66:P66)</f>
        <v>70044</v>
      </c>
      <c r="C66" s="213"/>
      <c r="D66" s="213"/>
      <c r="E66" s="213"/>
      <c r="F66" s="213">
        <f>SUM(G66:K66)</f>
        <v>58144</v>
      </c>
      <c r="G66" s="134"/>
      <c r="H66" s="134">
        <f>9000+50</f>
        <v>9050</v>
      </c>
      <c r="I66" s="134">
        <f>41044-50+I67</f>
        <v>49094</v>
      </c>
      <c r="J66" s="134"/>
      <c r="K66" s="134"/>
      <c r="L66" s="134"/>
      <c r="M66" s="134"/>
      <c r="N66" s="134">
        <f>20000+N67</f>
        <v>11900</v>
      </c>
      <c r="O66" s="134"/>
      <c r="P66" s="134"/>
    </row>
    <row r="67" spans="1:16" ht="21.75" customHeight="1">
      <c r="A67" s="242" t="s">
        <v>839</v>
      </c>
      <c r="B67" s="131">
        <f t="shared" si="8"/>
        <v>0</v>
      </c>
      <c r="C67" s="213"/>
      <c r="D67" s="213"/>
      <c r="E67" s="213"/>
      <c r="F67" s="213">
        <f>SUM(G67:K67)</f>
        <v>8100</v>
      </c>
      <c r="G67" s="134"/>
      <c r="H67" s="134"/>
      <c r="I67" s="134">
        <v>8100</v>
      </c>
      <c r="J67" s="134"/>
      <c r="K67" s="134"/>
      <c r="L67" s="134"/>
      <c r="M67" s="134"/>
      <c r="N67" s="134">
        <v>-8100</v>
      </c>
      <c r="O67" s="134"/>
      <c r="P67" s="134"/>
    </row>
    <row r="68" spans="1:16" ht="30" customHeight="1">
      <c r="A68" s="130" t="s">
        <v>220</v>
      </c>
      <c r="B68" s="131">
        <f>SUM(C68+F68,L68:P68)</f>
        <v>39490</v>
      </c>
      <c r="C68" s="213"/>
      <c r="D68" s="213"/>
      <c r="E68" s="213"/>
      <c r="F68" s="213">
        <f>SUM(G68:K68)</f>
        <v>39490</v>
      </c>
      <c r="G68" s="134"/>
      <c r="H68" s="134">
        <f>38840-3500</f>
        <v>35340</v>
      </c>
      <c r="I68" s="134">
        <f>650+3500</f>
        <v>4150</v>
      </c>
      <c r="J68" s="134"/>
      <c r="K68" s="134"/>
      <c r="L68" s="134"/>
      <c r="M68" s="134"/>
      <c r="N68" s="134"/>
      <c r="O68" s="134"/>
      <c r="P68" s="134"/>
    </row>
    <row r="69" spans="1:16" ht="30" customHeight="1">
      <c r="A69" s="130" t="s">
        <v>222</v>
      </c>
      <c r="B69" s="131">
        <f t="shared" si="8"/>
        <v>272453</v>
      </c>
      <c r="C69" s="213"/>
      <c r="D69" s="213"/>
      <c r="E69" s="213"/>
      <c r="F69" s="213">
        <f t="shared" si="7"/>
        <v>139453</v>
      </c>
      <c r="G69" s="134"/>
      <c r="H69" s="134">
        <f>31453-980</f>
        <v>30473</v>
      </c>
      <c r="I69" s="134">
        <f>46000+62980</f>
        <v>108980</v>
      </c>
      <c r="J69" s="134"/>
      <c r="K69" s="134"/>
      <c r="L69" s="134"/>
      <c r="M69" s="134"/>
      <c r="N69" s="134">
        <f>195000-62000</f>
        <v>133000</v>
      </c>
      <c r="O69" s="134"/>
      <c r="P69" s="134"/>
    </row>
    <row r="70" spans="1:16" ht="30" customHeight="1">
      <c r="A70" s="130" t="s">
        <v>224</v>
      </c>
      <c r="B70" s="131">
        <f t="shared" si="8"/>
        <v>52319</v>
      </c>
      <c r="C70" s="213">
        <f>D70+E70</f>
        <v>2472</v>
      </c>
      <c r="D70" s="213">
        <v>2000</v>
      </c>
      <c r="E70" s="213">
        <v>472</v>
      </c>
      <c r="F70" s="213">
        <f t="shared" si="7"/>
        <v>29847</v>
      </c>
      <c r="G70" s="134"/>
      <c r="H70" s="134">
        <v>19867</v>
      </c>
      <c r="I70" s="134">
        <v>9980</v>
      </c>
      <c r="J70" s="134"/>
      <c r="K70" s="134"/>
      <c r="L70" s="134"/>
      <c r="M70" s="134"/>
      <c r="N70" s="134">
        <v>20000</v>
      </c>
      <c r="O70" s="134"/>
      <c r="P70" s="134"/>
    </row>
    <row r="71" spans="1:16" ht="30" customHeight="1">
      <c r="A71" s="130" t="s">
        <v>225</v>
      </c>
      <c r="B71" s="131">
        <f t="shared" si="8"/>
        <v>83521</v>
      </c>
      <c r="C71" s="213"/>
      <c r="D71" s="213"/>
      <c r="E71" s="213"/>
      <c r="F71" s="213">
        <f t="shared" si="7"/>
        <v>55321</v>
      </c>
      <c r="G71" s="134"/>
      <c r="H71" s="134">
        <v>50483</v>
      </c>
      <c r="I71" s="134">
        <v>4838</v>
      </c>
      <c r="J71" s="134"/>
      <c r="K71" s="134"/>
      <c r="L71" s="134"/>
      <c r="M71" s="134"/>
      <c r="N71" s="134">
        <v>28200</v>
      </c>
      <c r="O71" s="134"/>
      <c r="P71" s="134"/>
    </row>
    <row r="72" spans="1:16" ht="30" customHeight="1">
      <c r="A72" s="130" t="s">
        <v>76</v>
      </c>
      <c r="B72" s="131">
        <f t="shared" si="8"/>
        <v>48629</v>
      </c>
      <c r="C72" s="213"/>
      <c r="D72" s="213"/>
      <c r="E72" s="213"/>
      <c r="F72" s="213">
        <f t="shared" si="7"/>
        <v>48629</v>
      </c>
      <c r="G72" s="134"/>
      <c r="H72" s="134">
        <v>43229</v>
      </c>
      <c r="I72" s="134">
        <v>5400</v>
      </c>
      <c r="J72" s="134"/>
      <c r="K72" s="134"/>
      <c r="L72" s="134"/>
      <c r="M72" s="134"/>
      <c r="N72" s="134"/>
      <c r="O72" s="134"/>
      <c r="P72" s="134"/>
    </row>
    <row r="73" spans="1:16" ht="30" customHeight="1">
      <c r="A73" s="130" t="s">
        <v>77</v>
      </c>
      <c r="B73" s="131">
        <f t="shared" si="8"/>
        <v>20346</v>
      </c>
      <c r="C73" s="213"/>
      <c r="D73" s="213"/>
      <c r="E73" s="213"/>
      <c r="F73" s="213">
        <f t="shared" si="7"/>
        <v>20346</v>
      </c>
      <c r="G73" s="134"/>
      <c r="H73" s="134">
        <v>19346</v>
      </c>
      <c r="I73" s="134">
        <v>1000</v>
      </c>
      <c r="J73" s="134"/>
      <c r="K73" s="134"/>
      <c r="L73" s="134"/>
      <c r="M73" s="134"/>
      <c r="N73" s="134"/>
      <c r="O73" s="134"/>
      <c r="P73" s="134"/>
    </row>
    <row r="74" spans="1:16" ht="30" customHeight="1">
      <c r="A74" s="130" t="s">
        <v>228</v>
      </c>
      <c r="B74" s="131">
        <f t="shared" si="8"/>
        <v>31686</v>
      </c>
      <c r="C74" s="213">
        <f>D74+E74</f>
        <v>7507</v>
      </c>
      <c r="D74" s="213">
        <v>5880</v>
      </c>
      <c r="E74" s="213">
        <v>1627</v>
      </c>
      <c r="F74" s="213">
        <f t="shared" si="7"/>
        <v>24179</v>
      </c>
      <c r="G74" s="134"/>
      <c r="H74" s="134">
        <v>17009</v>
      </c>
      <c r="I74" s="134">
        <v>7170</v>
      </c>
      <c r="J74" s="134"/>
      <c r="K74" s="134"/>
      <c r="L74" s="134"/>
      <c r="M74" s="134"/>
      <c r="N74" s="134"/>
      <c r="O74" s="134"/>
      <c r="P74" s="134"/>
    </row>
    <row r="75" spans="1:16" ht="30" customHeight="1">
      <c r="A75" s="130" t="s">
        <v>78</v>
      </c>
      <c r="B75" s="131">
        <f t="shared" si="8"/>
        <v>29811</v>
      </c>
      <c r="C75" s="213">
        <f t="shared" si="9" ref="C75:C77">D75+E75</f>
        <v>0</v>
      </c>
      <c r="D75" s="213"/>
      <c r="E75" s="213"/>
      <c r="F75" s="213">
        <f t="shared" si="7"/>
        <v>29811</v>
      </c>
      <c r="G75" s="134"/>
      <c r="H75" s="134">
        <v>25141</v>
      </c>
      <c r="I75" s="134">
        <v>4670</v>
      </c>
      <c r="J75" s="134"/>
      <c r="K75" s="134"/>
      <c r="L75" s="134"/>
      <c r="M75" s="134"/>
      <c r="N75" s="134"/>
      <c r="O75" s="134"/>
      <c r="P75" s="134"/>
    </row>
    <row r="76" spans="1:16" ht="30" customHeight="1">
      <c r="A76" s="130" t="s">
        <v>226</v>
      </c>
      <c r="B76" s="131">
        <f t="shared" si="8"/>
        <v>9793</v>
      </c>
      <c r="C76" s="213">
        <f t="shared" si="9"/>
        <v>0</v>
      </c>
      <c r="D76" s="213"/>
      <c r="E76" s="213"/>
      <c r="F76" s="213">
        <f t="shared" si="7"/>
        <v>9793</v>
      </c>
      <c r="G76" s="134"/>
      <c r="H76" s="134">
        <v>6793</v>
      </c>
      <c r="I76" s="134">
        <v>3000</v>
      </c>
      <c r="J76" s="134"/>
      <c r="K76" s="134"/>
      <c r="L76" s="134"/>
      <c r="M76" s="134"/>
      <c r="N76" s="134"/>
      <c r="O76" s="134"/>
      <c r="P76" s="134"/>
    </row>
    <row r="77" spans="1:16" ht="30" customHeight="1">
      <c r="A77" s="130" t="s">
        <v>227</v>
      </c>
      <c r="B77" s="131">
        <f t="shared" si="8"/>
        <v>24565</v>
      </c>
      <c r="C77" s="213">
        <f t="shared" si="9"/>
        <v>5191</v>
      </c>
      <c r="D77" s="213">
        <v>4200</v>
      </c>
      <c r="E77" s="213">
        <v>991</v>
      </c>
      <c r="F77" s="213">
        <f t="shared" si="7"/>
        <v>19374</v>
      </c>
      <c r="G77" s="134"/>
      <c r="H77" s="134">
        <v>12874</v>
      </c>
      <c r="I77" s="134">
        <v>6500</v>
      </c>
      <c r="J77" s="134"/>
      <c r="K77" s="134"/>
      <c r="L77" s="134"/>
      <c r="M77" s="134"/>
      <c r="N77" s="134"/>
      <c r="O77" s="134"/>
      <c r="P77" s="134"/>
    </row>
    <row r="78" spans="1:16" ht="30" customHeight="1">
      <c r="A78" s="130" t="s">
        <v>736</v>
      </c>
      <c r="B78" s="131">
        <f>SUM(C78:F78,L78:P78)</f>
        <v>298886</v>
      </c>
      <c r="C78" s="213"/>
      <c r="D78" s="213"/>
      <c r="E78" s="213"/>
      <c r="F78" s="213">
        <f>SUM(G78:K78)</f>
        <v>298886</v>
      </c>
      <c r="G78" s="134"/>
      <c r="H78" s="134">
        <v>298886</v>
      </c>
      <c r="I78" s="134"/>
      <c r="J78" s="134"/>
      <c r="K78" s="134"/>
      <c r="L78" s="134"/>
      <c r="M78" s="134"/>
      <c r="N78" s="134"/>
      <c r="O78" s="134"/>
      <c r="P78" s="134"/>
    </row>
    <row r="79" spans="1:16" ht="20.25" customHeight="1">
      <c r="A79" s="130" t="s">
        <v>139</v>
      </c>
      <c r="B79" s="131">
        <f>SUM(C79+F79,L79:P79)</f>
        <v>70475</v>
      </c>
      <c r="C79" s="213">
        <f>D79+E79</f>
        <v>1483</v>
      </c>
      <c r="D79" s="213">
        <v>1200</v>
      </c>
      <c r="E79" s="213">
        <v>283</v>
      </c>
      <c r="F79" s="213">
        <f>SUM(G79:K79)</f>
        <v>2360</v>
      </c>
      <c r="G79" s="134"/>
      <c r="H79" s="134">
        <v>2360</v>
      </c>
      <c r="I79" s="134"/>
      <c r="J79" s="134"/>
      <c r="K79" s="134"/>
      <c r="L79" s="134"/>
      <c r="M79" s="134"/>
      <c r="N79" s="134"/>
      <c r="O79" s="134">
        <v>57000</v>
      </c>
      <c r="P79" s="134">
        <v>9632</v>
      </c>
    </row>
    <row r="80" spans="1:16" ht="15" customHeight="1">
      <c r="A80" s="130" t="s">
        <v>140</v>
      </c>
      <c r="B80" s="131">
        <f t="shared" si="10" ref="B80:B84">SUM(C80+F80,L80:P80)</f>
        <v>18664</v>
      </c>
      <c r="C80" s="213">
        <f>D80+E80</f>
        <v>14640</v>
      </c>
      <c r="D80" s="213">
        <v>11830</v>
      </c>
      <c r="E80" s="213">
        <v>2810</v>
      </c>
      <c r="F80" s="213">
        <f t="shared" si="7"/>
        <v>4024</v>
      </c>
      <c r="G80" s="134"/>
      <c r="H80" s="134">
        <v>3444</v>
      </c>
      <c r="I80" s="134">
        <v>580</v>
      </c>
      <c r="J80" s="134"/>
      <c r="K80" s="134"/>
      <c r="L80" s="134"/>
      <c r="M80" s="134"/>
      <c r="N80" s="134"/>
      <c r="O80" s="134"/>
      <c r="P80" s="134"/>
    </row>
    <row r="81" spans="1:16" ht="45" customHeight="1">
      <c r="A81" s="135" t="s">
        <v>254</v>
      </c>
      <c r="B81" s="131">
        <f t="shared" si="10"/>
        <v>187419</v>
      </c>
      <c r="C81" s="213"/>
      <c r="D81" s="213"/>
      <c r="E81" s="213"/>
      <c r="F81" s="213">
        <f t="shared" si="7"/>
        <v>0</v>
      </c>
      <c r="G81" s="134"/>
      <c r="H81" s="134"/>
      <c r="I81" s="134"/>
      <c r="J81" s="134"/>
      <c r="K81" s="134"/>
      <c r="L81" s="134"/>
      <c r="M81" s="134"/>
      <c r="N81" s="134">
        <v>187419</v>
      </c>
      <c r="O81" s="134"/>
      <c r="P81" s="134"/>
    </row>
    <row r="82" spans="1:16" ht="45" customHeight="1">
      <c r="A82" s="135" t="s">
        <v>79</v>
      </c>
      <c r="B82" s="131">
        <f t="shared" si="10"/>
        <v>66093</v>
      </c>
      <c r="C82" s="213"/>
      <c r="D82" s="213"/>
      <c r="E82" s="213"/>
      <c r="F82" s="213">
        <f t="shared" si="7"/>
        <v>58530</v>
      </c>
      <c r="G82" s="134"/>
      <c r="H82" s="134">
        <f>66093-7563</f>
        <v>58530</v>
      </c>
      <c r="I82" s="134"/>
      <c r="J82" s="134"/>
      <c r="K82" s="134"/>
      <c r="L82" s="134"/>
      <c r="M82" s="134"/>
      <c r="N82" s="134">
        <v>7563</v>
      </c>
      <c r="O82" s="134"/>
      <c r="P82" s="134"/>
    </row>
    <row r="83" spans="1:16" ht="30" customHeight="1">
      <c r="A83" s="130" t="s">
        <v>335</v>
      </c>
      <c r="B83" s="131">
        <f t="shared" si="10"/>
        <v>7712</v>
      </c>
      <c r="C83" s="213"/>
      <c r="D83" s="213"/>
      <c r="E83" s="213"/>
      <c r="F83" s="213">
        <f t="shared" si="7"/>
        <v>7712</v>
      </c>
      <c r="G83" s="134"/>
      <c r="H83" s="134">
        <v>4682</v>
      </c>
      <c r="I83" s="134">
        <v>2880</v>
      </c>
      <c r="J83" s="134"/>
      <c r="K83" s="134">
        <v>150</v>
      </c>
      <c r="L83" s="134"/>
      <c r="M83" s="134"/>
      <c r="N83" s="134"/>
      <c r="O83" s="134"/>
      <c r="P83" s="134"/>
    </row>
    <row r="84" spans="1:16" ht="30" customHeight="1">
      <c r="A84" s="135" t="s">
        <v>733</v>
      </c>
      <c r="B84" s="131">
        <f t="shared" si="10"/>
        <v>2845</v>
      </c>
      <c r="C84" s="213"/>
      <c r="D84" s="213"/>
      <c r="E84" s="213"/>
      <c r="F84" s="213">
        <f t="shared" si="11" ref="F84:F103">SUM(G84:K84)</f>
        <v>2845</v>
      </c>
      <c r="G84" s="134"/>
      <c r="H84" s="134">
        <v>2245</v>
      </c>
      <c r="I84" s="134">
        <v>300</v>
      </c>
      <c r="J84" s="134"/>
      <c r="K84" s="134">
        <v>300</v>
      </c>
      <c r="L84" s="134"/>
      <c r="M84" s="134"/>
      <c r="N84" s="134"/>
      <c r="O84" s="134"/>
      <c r="P84" s="134"/>
    </row>
    <row r="85" spans="1:16" ht="30" customHeight="1">
      <c r="A85" s="135" t="s">
        <v>256</v>
      </c>
      <c r="B85" s="131">
        <f>SUM(C85:F85,L85:P85)</f>
        <v>4292</v>
      </c>
      <c r="C85" s="213"/>
      <c r="D85" s="213"/>
      <c r="E85" s="213"/>
      <c r="F85" s="213">
        <f>SUM(G85:K85)</f>
        <v>4292</v>
      </c>
      <c r="G85" s="134"/>
      <c r="H85" s="134">
        <v>3900</v>
      </c>
      <c r="I85" s="134">
        <v>330</v>
      </c>
      <c r="J85" s="134"/>
      <c r="K85" s="134">
        <f>K86</f>
        <v>62</v>
      </c>
      <c r="L85" s="134"/>
      <c r="M85" s="134"/>
      <c r="N85" s="134"/>
      <c r="O85" s="134"/>
      <c r="P85" s="134"/>
    </row>
    <row r="86" spans="1:16" ht="30" customHeight="1">
      <c r="A86" s="216" t="s">
        <v>839</v>
      </c>
      <c r="B86" s="131">
        <f>SUM(C86:F86,L86:P86)</f>
        <v>62</v>
      </c>
      <c r="C86" s="213"/>
      <c r="D86" s="213"/>
      <c r="E86" s="213"/>
      <c r="F86" s="213">
        <f t="shared" si="11"/>
        <v>62</v>
      </c>
      <c r="G86" s="134"/>
      <c r="H86" s="134"/>
      <c r="I86" s="134"/>
      <c r="J86" s="134"/>
      <c r="K86" s="134">
        <v>62</v>
      </c>
      <c r="L86" s="134"/>
      <c r="M86" s="134"/>
      <c r="N86" s="134"/>
      <c r="O86" s="134"/>
      <c r="P86" s="134"/>
    </row>
    <row r="87" spans="1:16" ht="30" customHeight="1">
      <c r="A87" s="135" t="s">
        <v>730</v>
      </c>
      <c r="B87" s="131">
        <f>SUM(C87+F87,L87:P87)</f>
        <v>4259</v>
      </c>
      <c r="C87" s="213"/>
      <c r="D87" s="213"/>
      <c r="E87" s="213"/>
      <c r="F87" s="213">
        <f t="shared" si="11"/>
        <v>4259</v>
      </c>
      <c r="G87" s="134"/>
      <c r="H87" s="134">
        <v>4139</v>
      </c>
      <c r="I87" s="134">
        <v>120</v>
      </c>
      <c r="J87" s="134"/>
      <c r="K87" s="134"/>
      <c r="L87" s="134"/>
      <c r="M87" s="134"/>
      <c r="N87" s="134"/>
      <c r="O87" s="134"/>
      <c r="P87" s="134"/>
    </row>
    <row r="88" spans="1:16" ht="30" customHeight="1">
      <c r="A88" s="135" t="s">
        <v>248</v>
      </c>
      <c r="B88" s="131">
        <f>SUM(C88:F88,L88:P88)</f>
        <v>3668</v>
      </c>
      <c r="C88" s="213"/>
      <c r="D88" s="213"/>
      <c r="E88" s="213"/>
      <c r="F88" s="213">
        <f t="shared" si="11"/>
        <v>3668</v>
      </c>
      <c r="G88" s="134"/>
      <c r="H88" s="134">
        <v>2969</v>
      </c>
      <c r="I88" s="134">
        <v>450</v>
      </c>
      <c r="J88" s="134"/>
      <c r="K88" s="134">
        <v>249</v>
      </c>
      <c r="L88" s="134"/>
      <c r="M88" s="134"/>
      <c r="N88" s="134"/>
      <c r="O88" s="134"/>
      <c r="P88" s="134"/>
    </row>
    <row r="89" spans="1:16" ht="30" customHeight="1">
      <c r="A89" s="135" t="s">
        <v>251</v>
      </c>
      <c r="B89" s="131">
        <f>SUM(C89+F89,L89:P89)</f>
        <v>6752</v>
      </c>
      <c r="C89" s="213"/>
      <c r="D89" s="213"/>
      <c r="E89" s="213"/>
      <c r="F89" s="213">
        <f t="shared" si="11"/>
        <v>6752</v>
      </c>
      <c r="G89" s="134"/>
      <c r="H89" s="134">
        <v>6587</v>
      </c>
      <c r="I89" s="134">
        <v>120</v>
      </c>
      <c r="J89" s="134"/>
      <c r="K89" s="134">
        <v>45</v>
      </c>
      <c r="L89" s="134"/>
      <c r="M89" s="134"/>
      <c r="N89" s="134"/>
      <c r="O89" s="134"/>
      <c r="P89" s="134"/>
    </row>
    <row r="90" spans="1:16" ht="30" customHeight="1">
      <c r="A90" s="135" t="s">
        <v>145</v>
      </c>
      <c r="B90" s="131">
        <f>SUM(C90+F90,L90:P90)</f>
        <v>4700</v>
      </c>
      <c r="C90" s="213"/>
      <c r="D90" s="213"/>
      <c r="E90" s="213"/>
      <c r="F90" s="213">
        <f t="shared" si="11"/>
        <v>4700</v>
      </c>
      <c r="G90" s="134"/>
      <c r="H90" s="134">
        <v>4300</v>
      </c>
      <c r="I90" s="134">
        <v>310</v>
      </c>
      <c r="J90" s="134"/>
      <c r="K90" s="134">
        <v>90</v>
      </c>
      <c r="L90" s="134"/>
      <c r="M90" s="134"/>
      <c r="N90" s="134"/>
      <c r="O90" s="134"/>
      <c r="P90" s="134"/>
    </row>
    <row r="91" spans="1:16" ht="30" customHeight="1">
      <c r="A91" s="130" t="s">
        <v>336</v>
      </c>
      <c r="B91" s="131">
        <f>SUM(C91+F91,L91:P91)</f>
        <v>8550</v>
      </c>
      <c r="C91" s="213"/>
      <c r="D91" s="213"/>
      <c r="E91" s="213"/>
      <c r="F91" s="213">
        <f t="shared" si="11"/>
        <v>8550</v>
      </c>
      <c r="G91" s="134"/>
      <c r="H91" s="134">
        <v>7350</v>
      </c>
      <c r="I91" s="134">
        <f>1200-200</f>
        <v>1000</v>
      </c>
      <c r="J91" s="134"/>
      <c r="K91" s="134">
        <v>200</v>
      </c>
      <c r="L91" s="134"/>
      <c r="M91" s="134"/>
      <c r="N91" s="134"/>
      <c r="O91" s="134"/>
      <c r="P91" s="134"/>
    </row>
    <row r="92" spans="1:16" ht="30" customHeight="1">
      <c r="A92" s="130" t="s">
        <v>728</v>
      </c>
      <c r="B92" s="131">
        <f>SUM(C92+F92,L92:P92)</f>
        <v>3002</v>
      </c>
      <c r="C92" s="213"/>
      <c r="D92" s="213"/>
      <c r="E92" s="213"/>
      <c r="F92" s="213">
        <f t="shared" si="11"/>
        <v>3002</v>
      </c>
      <c r="G92" s="134"/>
      <c r="H92" s="134">
        <v>2810</v>
      </c>
      <c r="I92" s="134">
        <v>142</v>
      </c>
      <c r="J92" s="134"/>
      <c r="K92" s="134">
        <v>50</v>
      </c>
      <c r="L92" s="134"/>
      <c r="M92" s="134"/>
      <c r="N92" s="134"/>
      <c r="O92" s="134"/>
      <c r="P92" s="134"/>
    </row>
    <row r="93" spans="1:16" ht="30" customHeight="1">
      <c r="A93" s="135" t="s">
        <v>142</v>
      </c>
      <c r="B93" s="131">
        <f>SUM(C93:F93,L93:P93)</f>
        <v>10086</v>
      </c>
      <c r="C93" s="213"/>
      <c r="D93" s="213"/>
      <c r="E93" s="213"/>
      <c r="F93" s="213">
        <f t="shared" si="11"/>
        <v>10086</v>
      </c>
      <c r="G93" s="134"/>
      <c r="H93" s="134">
        <v>9576</v>
      </c>
      <c r="I93" s="134">
        <v>410</v>
      </c>
      <c r="J93" s="134"/>
      <c r="K93" s="134">
        <v>100</v>
      </c>
      <c r="L93" s="134"/>
      <c r="M93" s="134"/>
      <c r="N93" s="134"/>
      <c r="O93" s="134"/>
      <c r="P93" s="134"/>
    </row>
    <row r="94" spans="1:16" ht="30" customHeight="1">
      <c r="A94" s="135" t="s">
        <v>144</v>
      </c>
      <c r="B94" s="131">
        <f t="shared" si="12" ref="B94:B102">SUM(C94+F94,L94:P94)</f>
        <v>1010</v>
      </c>
      <c r="C94" s="213"/>
      <c r="D94" s="213"/>
      <c r="E94" s="213"/>
      <c r="F94" s="213">
        <f t="shared" si="11"/>
        <v>1010</v>
      </c>
      <c r="G94" s="134"/>
      <c r="H94" s="134">
        <v>210</v>
      </c>
      <c r="I94" s="134">
        <v>780</v>
      </c>
      <c r="J94" s="134"/>
      <c r="K94" s="134">
        <v>20</v>
      </c>
      <c r="L94" s="134"/>
      <c r="M94" s="134"/>
      <c r="N94" s="134"/>
      <c r="O94" s="134"/>
      <c r="P94" s="134"/>
    </row>
    <row r="95" spans="1:16" ht="30" customHeight="1">
      <c r="A95" s="130" t="s">
        <v>334</v>
      </c>
      <c r="B95" s="131">
        <f>SUM(C95+F95,L95:P95)</f>
        <v>8710</v>
      </c>
      <c r="C95" s="213"/>
      <c r="D95" s="213"/>
      <c r="E95" s="213"/>
      <c r="F95" s="213">
        <f>SUM(G95:K95)</f>
        <v>8710</v>
      </c>
      <c r="G95" s="134"/>
      <c r="H95" s="134">
        <v>8010</v>
      </c>
      <c r="I95" s="134">
        <f>700-61</f>
        <v>639</v>
      </c>
      <c r="J95" s="134"/>
      <c r="K95" s="134">
        <f>K96</f>
        <v>61</v>
      </c>
      <c r="L95" s="134"/>
      <c r="M95" s="134">
        <f>61+M96</f>
        <v>0</v>
      </c>
      <c r="N95" s="134"/>
      <c r="O95" s="134"/>
      <c r="P95" s="134"/>
    </row>
    <row r="96" spans="1:16" ht="30" customHeight="1">
      <c r="A96" s="242" t="s">
        <v>839</v>
      </c>
      <c r="B96" s="131">
        <f>SUM(C96+F96,L96:P96)</f>
        <v>0</v>
      </c>
      <c r="C96" s="213"/>
      <c r="D96" s="213"/>
      <c r="E96" s="213"/>
      <c r="F96" s="213">
        <f>SUM(G96:K96)</f>
        <v>61</v>
      </c>
      <c r="G96" s="134"/>
      <c r="H96" s="134"/>
      <c r="I96" s="134"/>
      <c r="J96" s="134"/>
      <c r="K96" s="134">
        <v>61</v>
      </c>
      <c r="L96" s="134"/>
      <c r="M96" s="134">
        <v>-61</v>
      </c>
      <c r="N96" s="134"/>
      <c r="O96" s="134"/>
      <c r="P96" s="134"/>
    </row>
    <row r="97" spans="1:16" ht="30" customHeight="1">
      <c r="A97" s="135" t="s">
        <v>258</v>
      </c>
      <c r="B97" s="131">
        <f>SUM(C97+F97,L97:P97)</f>
        <v>10656</v>
      </c>
      <c r="C97" s="213"/>
      <c r="D97" s="213"/>
      <c r="E97" s="213"/>
      <c r="F97" s="213">
        <f t="shared" si="11"/>
        <v>9154</v>
      </c>
      <c r="G97" s="134"/>
      <c r="H97" s="134">
        <f>10305-1502</f>
        <v>8803</v>
      </c>
      <c r="I97" s="134">
        <v>226</v>
      </c>
      <c r="J97" s="134"/>
      <c r="K97" s="134">
        <v>125</v>
      </c>
      <c r="L97" s="134"/>
      <c r="M97" s="134"/>
      <c r="N97" s="134">
        <v>1502</v>
      </c>
      <c r="O97" s="134"/>
      <c r="P97" s="134"/>
    </row>
    <row r="98" spans="1:16" ht="30" customHeight="1">
      <c r="A98" s="135" t="s">
        <v>143</v>
      </c>
      <c r="B98" s="131">
        <f t="shared" si="12"/>
        <v>720</v>
      </c>
      <c r="C98" s="213"/>
      <c r="D98" s="213"/>
      <c r="E98" s="213"/>
      <c r="F98" s="213">
        <f t="shared" si="11"/>
        <v>720</v>
      </c>
      <c r="G98" s="134"/>
      <c r="H98" s="134">
        <v>500</v>
      </c>
      <c r="I98" s="134">
        <v>200</v>
      </c>
      <c r="J98" s="134"/>
      <c r="K98" s="134">
        <v>20</v>
      </c>
      <c r="L98" s="134"/>
      <c r="M98" s="134"/>
      <c r="N98" s="134"/>
      <c r="O98" s="134"/>
      <c r="P98" s="134"/>
    </row>
    <row r="99" spans="1:16" ht="30" customHeight="1">
      <c r="A99" s="135" t="s">
        <v>146</v>
      </c>
      <c r="B99" s="131">
        <f t="shared" si="12"/>
        <v>3508</v>
      </c>
      <c r="C99" s="213"/>
      <c r="D99" s="213"/>
      <c r="E99" s="213"/>
      <c r="F99" s="213">
        <f t="shared" si="11"/>
        <v>3508</v>
      </c>
      <c r="G99" s="134"/>
      <c r="H99" s="134">
        <v>2548</v>
      </c>
      <c r="I99" s="134">
        <v>840</v>
      </c>
      <c r="J99" s="134"/>
      <c r="K99" s="134">
        <v>120</v>
      </c>
      <c r="L99" s="134"/>
      <c r="M99" s="134"/>
      <c r="N99" s="134"/>
      <c r="O99" s="134"/>
      <c r="P99" s="134"/>
    </row>
    <row r="100" spans="1:16" ht="45" customHeight="1">
      <c r="A100" s="135" t="s">
        <v>217</v>
      </c>
      <c r="B100" s="131">
        <f t="shared" si="12"/>
        <v>18269</v>
      </c>
      <c r="C100" s="213"/>
      <c r="D100" s="213"/>
      <c r="E100" s="213"/>
      <c r="F100" s="213">
        <f t="shared" si="11"/>
        <v>18269</v>
      </c>
      <c r="G100" s="134"/>
      <c r="H100" s="134">
        <v>16267</v>
      </c>
      <c r="I100" s="134">
        <v>1762</v>
      </c>
      <c r="J100" s="134"/>
      <c r="K100" s="134">
        <v>240</v>
      </c>
      <c r="L100" s="134"/>
      <c r="M100" s="134"/>
      <c r="N100" s="134"/>
      <c r="O100" s="134"/>
      <c r="P100" s="134"/>
    </row>
    <row r="101" spans="1:16" ht="30" customHeight="1">
      <c r="A101" s="135" t="s">
        <v>731</v>
      </c>
      <c r="B101" s="131">
        <f t="shared" si="12"/>
        <v>6665</v>
      </c>
      <c r="C101" s="213"/>
      <c r="D101" s="213"/>
      <c r="E101" s="213"/>
      <c r="F101" s="213">
        <f t="shared" si="11"/>
        <v>6665</v>
      </c>
      <c r="G101" s="134"/>
      <c r="H101" s="134">
        <v>6315</v>
      </c>
      <c r="I101" s="134"/>
      <c r="J101" s="134"/>
      <c r="K101" s="134">
        <v>350</v>
      </c>
      <c r="L101" s="134"/>
      <c r="M101" s="134"/>
      <c r="N101" s="134"/>
      <c r="O101" s="134"/>
      <c r="P101" s="134"/>
    </row>
    <row r="102" spans="1:16" ht="30" customHeight="1">
      <c r="A102" s="135" t="s">
        <v>147</v>
      </c>
      <c r="B102" s="131">
        <f t="shared" si="12"/>
        <v>8361</v>
      </c>
      <c r="C102" s="213"/>
      <c r="D102" s="213"/>
      <c r="E102" s="213"/>
      <c r="F102" s="213">
        <f t="shared" si="11"/>
        <v>8361</v>
      </c>
      <c r="G102" s="134"/>
      <c r="H102" s="134">
        <v>6994</v>
      </c>
      <c r="I102" s="134">
        <v>821</v>
      </c>
      <c r="J102" s="134"/>
      <c r="K102" s="134">
        <v>546</v>
      </c>
      <c r="L102" s="134"/>
      <c r="M102" s="134"/>
      <c r="N102" s="134"/>
      <c r="O102" s="134"/>
      <c r="P102" s="134"/>
    </row>
    <row r="103" spans="1:16" ht="46.5" customHeight="1">
      <c r="A103" s="135" t="s">
        <v>141</v>
      </c>
      <c r="B103" s="131">
        <f>SUM(C103:F103,L103:P103)</f>
        <v>3510</v>
      </c>
      <c r="C103" s="213"/>
      <c r="D103" s="213"/>
      <c r="E103" s="213"/>
      <c r="F103" s="213">
        <f t="shared" si="11"/>
        <v>3510</v>
      </c>
      <c r="G103" s="134"/>
      <c r="H103" s="134">
        <v>3510</v>
      </c>
      <c r="I103" s="134"/>
      <c r="J103" s="134"/>
      <c r="K103" s="134"/>
      <c r="L103" s="134"/>
      <c r="M103" s="134"/>
      <c r="N103" s="134"/>
      <c r="O103" s="134"/>
      <c r="P103" s="134"/>
    </row>
    <row r="104" spans="1:16" ht="15" customHeight="1">
      <c r="A104" s="135" t="s">
        <v>19</v>
      </c>
      <c r="B104" s="131">
        <f t="shared" si="13" ref="B104:B108">SUM(C104+F104,L104:P104)</f>
        <v>119842</v>
      </c>
      <c r="C104" s="213"/>
      <c r="D104" s="213"/>
      <c r="E104" s="213"/>
      <c r="F104" s="213">
        <f>SUM(G104:K104)</f>
        <v>119842</v>
      </c>
      <c r="G104" s="134"/>
      <c r="H104" s="134">
        <v>119842</v>
      </c>
      <c r="I104" s="134"/>
      <c r="J104" s="134"/>
      <c r="K104" s="134"/>
      <c r="L104" s="134"/>
      <c r="M104" s="134"/>
      <c r="N104" s="134"/>
      <c r="O104" s="134"/>
      <c r="P104" s="134"/>
    </row>
    <row r="105" spans="1:16" ht="15" customHeight="1">
      <c r="A105" s="135" t="s">
        <v>190</v>
      </c>
      <c r="B105" s="131">
        <f t="shared" si="13"/>
        <v>95682</v>
      </c>
      <c r="C105" s="213"/>
      <c r="D105" s="213"/>
      <c r="E105" s="213"/>
      <c r="F105" s="213">
        <f>SUM(G105:K105)</f>
        <v>95682</v>
      </c>
      <c r="G105" s="134"/>
      <c r="H105" s="134">
        <v>90682</v>
      </c>
      <c r="I105" s="134"/>
      <c r="J105" s="134"/>
      <c r="K105" s="134">
        <v>5000</v>
      </c>
      <c r="L105" s="134"/>
      <c r="M105" s="134"/>
      <c r="N105" s="134"/>
      <c r="O105" s="134"/>
      <c r="P105" s="134"/>
    </row>
    <row r="106" spans="1:16" ht="15" customHeight="1">
      <c r="A106" s="133" t="s">
        <v>194</v>
      </c>
      <c r="B106" s="131">
        <f t="shared" si="13"/>
        <v>58549</v>
      </c>
      <c r="C106" s="213"/>
      <c r="D106" s="213"/>
      <c r="E106" s="213"/>
      <c r="F106" s="213">
        <f>SUM(G106:K106)</f>
        <v>27549</v>
      </c>
      <c r="G106" s="134"/>
      <c r="H106" s="134">
        <f>27549</f>
        <v>27549</v>
      </c>
      <c r="I106" s="134"/>
      <c r="J106" s="134"/>
      <c r="K106" s="134"/>
      <c r="L106" s="134"/>
      <c r="M106" s="134"/>
      <c r="N106" s="134"/>
      <c r="O106" s="134">
        <v>31000</v>
      </c>
      <c r="P106" s="134"/>
    </row>
    <row r="107" spans="1:16" ht="30" customHeight="1">
      <c r="A107" s="133" t="s">
        <v>20</v>
      </c>
      <c r="B107" s="131">
        <f t="shared" si="13"/>
        <v>29550</v>
      </c>
      <c r="C107" s="213">
        <f t="shared" si="14" ref="C107:C119">D107+E107</f>
        <v>24890</v>
      </c>
      <c r="D107" s="213">
        <f>20140-1861</f>
        <v>18279</v>
      </c>
      <c r="E107" s="213">
        <f>4750+1861</f>
        <v>6611</v>
      </c>
      <c r="F107" s="213">
        <f t="shared" si="15" ref="F107:F124">SUM(G107:K107)</f>
        <v>4660</v>
      </c>
      <c r="G107" s="134"/>
      <c r="H107" s="134">
        <v>2290</v>
      </c>
      <c r="I107" s="134">
        <v>2370</v>
      </c>
      <c r="J107" s="134"/>
      <c r="K107" s="134"/>
      <c r="L107" s="134"/>
      <c r="M107" s="134"/>
      <c r="N107" s="134"/>
      <c r="O107" s="134"/>
      <c r="P107" s="134"/>
    </row>
    <row r="108" spans="1:16" ht="30" customHeight="1">
      <c r="A108" s="133" t="s">
        <v>288</v>
      </c>
      <c r="B108" s="131">
        <f t="shared" si="13"/>
        <v>75324</v>
      </c>
      <c r="C108" s="213">
        <f t="shared" si="14"/>
        <v>44659</v>
      </c>
      <c r="D108" s="213">
        <f>36877-907</f>
        <v>35970</v>
      </c>
      <c r="E108" s="213">
        <f>7782+907</f>
        <v>8689</v>
      </c>
      <c r="F108" s="213">
        <f t="shared" si="15"/>
        <v>30665</v>
      </c>
      <c r="G108" s="134"/>
      <c r="H108" s="134">
        <v>7625</v>
      </c>
      <c r="I108" s="134">
        <v>22580</v>
      </c>
      <c r="J108" s="134"/>
      <c r="K108" s="134">
        <v>460</v>
      </c>
      <c r="L108" s="134"/>
      <c r="M108" s="134"/>
      <c r="N108" s="134"/>
      <c r="O108" s="134"/>
      <c r="P108" s="134"/>
    </row>
    <row r="109" spans="1:16" ht="30" customHeight="1">
      <c r="A109" s="133" t="s">
        <v>21</v>
      </c>
      <c r="B109" s="131">
        <f>C109+F109+L109+M109+N109+O109+P109</f>
        <v>29140</v>
      </c>
      <c r="C109" s="213">
        <f t="shared" si="14"/>
        <v>25966</v>
      </c>
      <c r="D109" s="213">
        <f>21010-1437</f>
        <v>19573</v>
      </c>
      <c r="E109" s="213">
        <f>4956+1437</f>
        <v>6393</v>
      </c>
      <c r="F109" s="213">
        <f t="shared" si="15"/>
        <v>3174</v>
      </c>
      <c r="G109" s="134"/>
      <c r="H109" s="134">
        <v>1629</v>
      </c>
      <c r="I109" s="134">
        <v>1470</v>
      </c>
      <c r="J109" s="134"/>
      <c r="K109" s="134">
        <f>650+K110</f>
        <v>75</v>
      </c>
      <c r="L109" s="134"/>
      <c r="M109" s="134"/>
      <c r="N109" s="134"/>
      <c r="O109" s="134"/>
      <c r="P109" s="134"/>
    </row>
    <row r="110" spans="1:16" ht="30" customHeight="1">
      <c r="A110" s="216" t="s">
        <v>839</v>
      </c>
      <c r="B110" s="131">
        <f>C110+F110+L110+M110+N110+O110+P110</f>
        <v>-575</v>
      </c>
      <c r="C110" s="213"/>
      <c r="D110" s="213"/>
      <c r="E110" s="213"/>
      <c r="F110" s="213">
        <f t="shared" si="15"/>
        <v>-575</v>
      </c>
      <c r="G110" s="134"/>
      <c r="H110" s="134"/>
      <c r="I110" s="134"/>
      <c r="J110" s="134"/>
      <c r="K110" s="134">
        <v>-575</v>
      </c>
      <c r="L110" s="134"/>
      <c r="M110" s="134"/>
      <c r="N110" s="134"/>
      <c r="O110" s="134"/>
      <c r="P110" s="134"/>
    </row>
    <row r="111" spans="1:16" s="120" customFormat="1" ht="30" customHeight="1">
      <c r="A111" s="133" t="s">
        <v>22</v>
      </c>
      <c r="B111" s="131">
        <f t="shared" si="16" ref="B111:B149">SUM(C111+F111,L111:P111)</f>
        <v>61855</v>
      </c>
      <c r="C111" s="213">
        <f t="shared" si="14"/>
        <v>37861</v>
      </c>
      <c r="D111" s="213">
        <v>30634</v>
      </c>
      <c r="E111" s="213">
        <v>7227</v>
      </c>
      <c r="F111" s="213">
        <f t="shared" si="15"/>
        <v>23994</v>
      </c>
      <c r="G111" s="134"/>
      <c r="H111" s="134">
        <v>19124</v>
      </c>
      <c r="I111" s="134">
        <v>4870</v>
      </c>
      <c r="J111" s="134"/>
      <c r="K111" s="134"/>
      <c r="L111" s="134"/>
      <c r="M111" s="134"/>
      <c r="N111" s="134"/>
      <c r="O111" s="134"/>
      <c r="P111" s="134"/>
    </row>
    <row r="112" spans="1:16" ht="30" customHeight="1">
      <c r="A112" s="133" t="s">
        <v>23</v>
      </c>
      <c r="B112" s="131">
        <f t="shared" si="16"/>
        <v>30032</v>
      </c>
      <c r="C112" s="223">
        <f t="shared" si="14"/>
        <v>14868</v>
      </c>
      <c r="D112" s="213">
        <v>12030</v>
      </c>
      <c r="E112" s="213">
        <v>2838</v>
      </c>
      <c r="F112" s="213">
        <f t="shared" si="15"/>
        <v>15164</v>
      </c>
      <c r="G112" s="134"/>
      <c r="H112" s="134">
        <v>9550</v>
      </c>
      <c r="I112" s="134">
        <v>5364</v>
      </c>
      <c r="J112" s="134"/>
      <c r="K112" s="134">
        <v>250</v>
      </c>
      <c r="L112" s="134"/>
      <c r="M112" s="134"/>
      <c r="N112" s="134"/>
      <c r="O112" s="134"/>
      <c r="P112" s="134"/>
    </row>
    <row r="113" spans="1:16" ht="30" customHeight="1">
      <c r="A113" s="133" t="s">
        <v>24</v>
      </c>
      <c r="B113" s="131">
        <f t="shared" si="16"/>
        <v>74396</v>
      </c>
      <c r="C113" s="223">
        <f t="shared" si="14"/>
        <v>62126</v>
      </c>
      <c r="D113" s="213">
        <v>50187</v>
      </c>
      <c r="E113" s="213">
        <v>11939</v>
      </c>
      <c r="F113" s="213">
        <f t="shared" si="15"/>
        <v>12270</v>
      </c>
      <c r="G113" s="134"/>
      <c r="H113" s="134">
        <v>6471</v>
      </c>
      <c r="I113" s="134">
        <v>5310</v>
      </c>
      <c r="J113" s="134"/>
      <c r="K113" s="134">
        <v>489</v>
      </c>
      <c r="L113" s="134"/>
      <c r="M113" s="134"/>
      <c r="N113" s="134"/>
      <c r="O113" s="134"/>
      <c r="P113" s="134"/>
    </row>
    <row r="114" spans="1:16" ht="15" customHeight="1">
      <c r="A114" s="133" t="s">
        <v>123</v>
      </c>
      <c r="B114" s="131">
        <f t="shared" si="16"/>
        <v>94432</v>
      </c>
      <c r="C114" s="223">
        <f t="shared" si="14"/>
        <v>42932</v>
      </c>
      <c r="D114" s="213">
        <v>34738</v>
      </c>
      <c r="E114" s="213">
        <v>8194</v>
      </c>
      <c r="F114" s="213">
        <f t="shared" si="15"/>
        <v>51500</v>
      </c>
      <c r="G114" s="134"/>
      <c r="H114" s="134">
        <v>50070</v>
      </c>
      <c r="I114" s="134">
        <v>1430</v>
      </c>
      <c r="J114" s="134"/>
      <c r="K114" s="134"/>
      <c r="L114" s="134"/>
      <c r="M114" s="134"/>
      <c r="N114" s="134"/>
      <c r="O114" s="134"/>
      <c r="P114" s="134"/>
    </row>
    <row r="115" spans="1:16" ht="30" customHeight="1">
      <c r="A115" s="136" t="s">
        <v>149</v>
      </c>
      <c r="B115" s="131">
        <f>SUM(C115+F115,L115:P115)</f>
        <v>87359</v>
      </c>
      <c r="C115" s="224">
        <f t="shared" si="14"/>
        <v>64273</v>
      </c>
      <c r="D115" s="225">
        <v>52390</v>
      </c>
      <c r="E115" s="225">
        <v>11883</v>
      </c>
      <c r="F115" s="213">
        <f>SUM(G115:K115)</f>
        <v>23086</v>
      </c>
      <c r="G115" s="134"/>
      <c r="H115" s="134">
        <f>8480+H116</f>
        <v>7980</v>
      </c>
      <c r="I115" s="134">
        <f>15160+I116</f>
        <v>14760</v>
      </c>
      <c r="J115" s="134"/>
      <c r="K115" s="134">
        <v>346</v>
      </c>
      <c r="L115" s="134"/>
      <c r="M115" s="134"/>
      <c r="N115" s="158"/>
      <c r="O115" s="134"/>
      <c r="P115" s="134"/>
    </row>
    <row r="116" spans="1:16" ht="30" customHeight="1">
      <c r="A116" s="241" t="s">
        <v>839</v>
      </c>
      <c r="B116" s="131">
        <f>SUM(C116+F116,L116:P116)</f>
        <v>-900</v>
      </c>
      <c r="C116" s="227"/>
      <c r="D116" s="225"/>
      <c r="E116" s="225"/>
      <c r="F116" s="213">
        <f>SUM(G116:K116)</f>
        <v>-900</v>
      </c>
      <c r="G116" s="134"/>
      <c r="H116" s="134">
        <v>-500</v>
      </c>
      <c r="I116" s="134">
        <v>-400</v>
      </c>
      <c r="J116" s="134"/>
      <c r="K116" s="134"/>
      <c r="L116" s="134"/>
      <c r="M116" s="134"/>
      <c r="N116" s="240"/>
      <c r="O116" s="134"/>
      <c r="P116" s="134"/>
    </row>
    <row r="117" spans="1:16" ht="30" customHeight="1">
      <c r="A117" s="133" t="s">
        <v>25</v>
      </c>
      <c r="B117" s="131">
        <f t="shared" si="16"/>
        <v>57160</v>
      </c>
      <c r="C117" s="223">
        <f t="shared" si="14"/>
        <v>41582</v>
      </c>
      <c r="D117" s="213">
        <v>33645</v>
      </c>
      <c r="E117" s="213">
        <v>7937</v>
      </c>
      <c r="F117" s="213">
        <f t="shared" si="15"/>
        <v>15578</v>
      </c>
      <c r="G117" s="134"/>
      <c r="H117" s="134">
        <v>4606</v>
      </c>
      <c r="I117" s="134">
        <v>10875</v>
      </c>
      <c r="J117" s="134"/>
      <c r="K117" s="134">
        <v>97</v>
      </c>
      <c r="L117" s="134"/>
      <c r="M117" s="134"/>
      <c r="N117" s="134"/>
      <c r="O117" s="134"/>
      <c r="P117" s="134"/>
    </row>
    <row r="118" spans="1:16" ht="15" customHeight="1">
      <c r="A118" s="133" t="s">
        <v>103</v>
      </c>
      <c r="B118" s="131">
        <f t="shared" si="16"/>
        <v>10119</v>
      </c>
      <c r="C118" s="223">
        <f t="shared" si="14"/>
        <v>7009</v>
      </c>
      <c r="D118" s="213">
        <f>4900+771</f>
        <v>5671</v>
      </c>
      <c r="E118" s="213">
        <v>1338</v>
      </c>
      <c r="F118" s="213">
        <f t="shared" si="15"/>
        <v>3110</v>
      </c>
      <c r="G118" s="134"/>
      <c r="H118" s="134">
        <v>2415</v>
      </c>
      <c r="I118" s="134">
        <v>630</v>
      </c>
      <c r="J118" s="134"/>
      <c r="K118" s="134">
        <v>65</v>
      </c>
      <c r="L118" s="134"/>
      <c r="M118" s="134"/>
      <c r="N118" s="134"/>
      <c r="O118" s="134"/>
      <c r="P118" s="134"/>
    </row>
    <row r="119" spans="1:16" ht="30" customHeight="1">
      <c r="A119" s="136" t="s">
        <v>150</v>
      </c>
      <c r="B119" s="131">
        <f>SUM(C119+F119,L119:P119)</f>
        <v>158757</v>
      </c>
      <c r="C119" s="224">
        <f t="shared" si="14"/>
        <v>123357</v>
      </c>
      <c r="D119" s="225">
        <v>100065</v>
      </c>
      <c r="E119" s="225">
        <v>23292</v>
      </c>
      <c r="F119" s="213">
        <f t="shared" si="15"/>
        <v>35400</v>
      </c>
      <c r="G119" s="134"/>
      <c r="H119" s="134">
        <f>14050+1000</f>
        <v>15050</v>
      </c>
      <c r="I119" s="134">
        <f>21050-1000</f>
        <v>20050</v>
      </c>
      <c r="J119" s="134"/>
      <c r="K119" s="134">
        <v>300</v>
      </c>
      <c r="L119" s="134"/>
      <c r="M119" s="134"/>
      <c r="N119" s="158"/>
      <c r="O119" s="134"/>
      <c r="P119" s="134"/>
    </row>
    <row r="120" spans="1:16" ht="27" customHeight="1">
      <c r="A120" s="133" t="s">
        <v>126</v>
      </c>
      <c r="B120" s="131">
        <f t="shared" si="16"/>
        <v>7345</v>
      </c>
      <c r="C120" s="223">
        <f>D120+E120</f>
        <v>4701</v>
      </c>
      <c r="D120" s="213">
        <v>3804</v>
      </c>
      <c r="E120" s="213">
        <v>897</v>
      </c>
      <c r="F120" s="213">
        <f t="shared" si="15"/>
        <v>2644</v>
      </c>
      <c r="G120" s="134"/>
      <c r="H120" s="134">
        <v>2644</v>
      </c>
      <c r="I120" s="134"/>
      <c r="J120" s="134"/>
      <c r="K120" s="134"/>
      <c r="L120" s="134"/>
      <c r="M120" s="134"/>
      <c r="N120" s="134"/>
      <c r="O120" s="134"/>
      <c r="P120" s="134"/>
    </row>
    <row r="121" spans="1:16" ht="30" customHeight="1">
      <c r="A121" s="133" t="s">
        <v>26</v>
      </c>
      <c r="B121" s="131">
        <f t="shared" si="16"/>
        <v>117552</v>
      </c>
      <c r="C121" s="223">
        <f>D121+E121</f>
        <v>84306</v>
      </c>
      <c r="D121" s="213">
        <v>74223</v>
      </c>
      <c r="E121" s="213">
        <v>10083</v>
      </c>
      <c r="F121" s="213">
        <f t="shared" si="15"/>
        <v>33246</v>
      </c>
      <c r="G121" s="134"/>
      <c r="H121" s="134">
        <v>21576</v>
      </c>
      <c r="I121" s="134">
        <v>11460</v>
      </c>
      <c r="J121" s="134"/>
      <c r="K121" s="134">
        <v>210</v>
      </c>
      <c r="L121" s="134"/>
      <c r="M121" s="134"/>
      <c r="N121" s="134">
        <v>0</v>
      </c>
      <c r="O121" s="134"/>
      <c r="P121" s="134"/>
    </row>
    <row r="122" spans="1:16" ht="30" customHeight="1">
      <c r="A122" s="133" t="s">
        <v>27</v>
      </c>
      <c r="B122" s="131">
        <f t="shared" si="16"/>
        <v>45339</v>
      </c>
      <c r="C122" s="223">
        <f>D122+E122</f>
        <v>38856</v>
      </c>
      <c r="D122" s="213">
        <v>31440</v>
      </c>
      <c r="E122" s="213">
        <v>7416</v>
      </c>
      <c r="F122" s="213">
        <f t="shared" si="15"/>
        <v>6483</v>
      </c>
      <c r="G122" s="134"/>
      <c r="H122" s="134">
        <v>3693</v>
      </c>
      <c r="I122" s="134">
        <v>2550</v>
      </c>
      <c r="J122" s="134"/>
      <c r="K122" s="134">
        <v>240</v>
      </c>
      <c r="L122" s="134"/>
      <c r="M122" s="134"/>
      <c r="N122" s="134"/>
      <c r="O122" s="134"/>
      <c r="P122" s="134"/>
    </row>
    <row r="123" spans="1:16" ht="30" customHeight="1">
      <c r="A123" s="133" t="s">
        <v>199</v>
      </c>
      <c r="B123" s="131">
        <f t="shared" si="16"/>
        <v>42660</v>
      </c>
      <c r="C123" s="223"/>
      <c r="D123" s="213"/>
      <c r="E123" s="213"/>
      <c r="F123" s="213">
        <f t="shared" si="15"/>
        <v>4300</v>
      </c>
      <c r="G123" s="134"/>
      <c r="H123" s="134">
        <v>1422</v>
      </c>
      <c r="I123" s="134">
        <v>2798</v>
      </c>
      <c r="J123" s="134"/>
      <c r="K123" s="134">
        <v>80</v>
      </c>
      <c r="L123" s="134"/>
      <c r="M123" s="134"/>
      <c r="N123" s="134">
        <v>38360</v>
      </c>
      <c r="O123" s="134"/>
      <c r="P123" s="134"/>
    </row>
    <row r="124" spans="1:16" ht="27" customHeight="1">
      <c r="A124" s="133" t="s">
        <v>28</v>
      </c>
      <c r="B124" s="131">
        <f t="shared" si="16"/>
        <v>102881</v>
      </c>
      <c r="C124" s="223">
        <f>D124+E124</f>
        <v>81138</v>
      </c>
      <c r="D124" s="213">
        <v>65570</v>
      </c>
      <c r="E124" s="213">
        <v>15568</v>
      </c>
      <c r="F124" s="213">
        <f t="shared" si="15"/>
        <v>19243</v>
      </c>
      <c r="G124" s="134"/>
      <c r="H124" s="134">
        <v>5054</v>
      </c>
      <c r="I124" s="134">
        <v>13989</v>
      </c>
      <c r="J124" s="134"/>
      <c r="K124" s="134">
        <v>200</v>
      </c>
      <c r="L124" s="134"/>
      <c r="M124" s="134"/>
      <c r="N124" s="134">
        <v>2500</v>
      </c>
      <c r="O124" s="134"/>
      <c r="P124" s="134"/>
    </row>
    <row r="125" spans="1:16" ht="22.5" customHeight="1">
      <c r="A125" s="133" t="s">
        <v>29</v>
      </c>
      <c r="B125" s="131">
        <f t="shared" si="16"/>
        <v>1764345</v>
      </c>
      <c r="C125" s="213">
        <f>D125+E125</f>
        <v>752614</v>
      </c>
      <c r="D125" s="213">
        <f>59537+114472+79247+119130+196389+18550</f>
        <v>587325</v>
      </c>
      <c r="E125" s="213">
        <f>17066+32425+22202+34840+53441+5315</f>
        <v>165289</v>
      </c>
      <c r="F125" s="213">
        <f>SUM(G125:K125)</f>
        <v>977631</v>
      </c>
      <c r="G125" s="134">
        <f>8+200</f>
        <v>208</v>
      </c>
      <c r="H125" s="134">
        <v>585118</v>
      </c>
      <c r="I125" s="134">
        <f>13450+14990+11710+10425+67535+251</f>
        <v>118361</v>
      </c>
      <c r="J125" s="134"/>
      <c r="K125" s="134">
        <f>52500+3144+50400+39200+128200+500</f>
        <v>273944</v>
      </c>
      <c r="L125" s="134"/>
      <c r="M125" s="134"/>
      <c r="N125" s="134">
        <v>34100</v>
      </c>
      <c r="O125" s="134"/>
      <c r="P125" s="134"/>
    </row>
    <row r="126" spans="1:16" ht="30" customHeight="1">
      <c r="A126" s="133" t="s">
        <v>183</v>
      </c>
      <c r="B126" s="131">
        <f>SUM(C126+F126,L126:P126)</f>
        <v>82807</v>
      </c>
      <c r="C126" s="213"/>
      <c r="D126" s="213"/>
      <c r="E126" s="213"/>
      <c r="F126" s="213">
        <f>SUM(G126:K126)</f>
        <v>82807</v>
      </c>
      <c r="G126" s="134"/>
      <c r="H126" s="134">
        <v>80307</v>
      </c>
      <c r="I126" s="134">
        <v>2500</v>
      </c>
      <c r="J126" s="134"/>
      <c r="K126" s="134"/>
      <c r="L126" s="134"/>
      <c r="M126" s="134"/>
      <c r="N126" s="134"/>
      <c r="O126" s="134"/>
      <c r="P126" s="134"/>
    </row>
    <row r="127" spans="1:16" ht="30" customHeight="1">
      <c r="A127" s="133" t="s">
        <v>121</v>
      </c>
      <c r="B127" s="131">
        <f t="shared" si="16"/>
        <v>7500</v>
      </c>
      <c r="C127" s="213"/>
      <c r="D127" s="213"/>
      <c r="E127" s="213"/>
      <c r="F127" s="213">
        <f t="shared" si="17" ref="F127:F165">SUM(G127:K127)</f>
        <v>7500</v>
      </c>
      <c r="G127" s="134"/>
      <c r="H127" s="134">
        <v>7500</v>
      </c>
      <c r="I127" s="134"/>
      <c r="J127" s="134"/>
      <c r="K127" s="134"/>
      <c r="L127" s="134"/>
      <c r="M127" s="134"/>
      <c r="N127" s="134"/>
      <c r="O127" s="134"/>
      <c r="P127" s="134"/>
    </row>
    <row r="128" spans="1:16" ht="30" customHeight="1">
      <c r="A128" s="133" t="s">
        <v>127</v>
      </c>
      <c r="B128" s="131">
        <f t="shared" si="16"/>
        <v>1000</v>
      </c>
      <c r="C128" s="213"/>
      <c r="D128" s="213"/>
      <c r="E128" s="213"/>
      <c r="F128" s="213">
        <f t="shared" si="17"/>
        <v>1000</v>
      </c>
      <c r="G128" s="134"/>
      <c r="H128" s="134">
        <v>500</v>
      </c>
      <c r="I128" s="134">
        <v>500</v>
      </c>
      <c r="J128" s="134"/>
      <c r="K128" s="134"/>
      <c r="L128" s="134"/>
      <c r="M128" s="134"/>
      <c r="N128" s="134"/>
      <c r="O128" s="134"/>
      <c r="P128" s="134"/>
    </row>
    <row r="129" spans="1:16" ht="30" customHeight="1">
      <c r="A129" s="133" t="s">
        <v>122</v>
      </c>
      <c r="B129" s="131">
        <f t="shared" si="16"/>
        <v>9827</v>
      </c>
      <c r="C129" s="213"/>
      <c r="D129" s="213"/>
      <c r="E129" s="213"/>
      <c r="F129" s="213">
        <f t="shared" si="17"/>
        <v>9827</v>
      </c>
      <c r="G129" s="134"/>
      <c r="H129" s="134">
        <v>3736</v>
      </c>
      <c r="I129" s="134">
        <v>6091</v>
      </c>
      <c r="J129" s="134"/>
      <c r="K129" s="134"/>
      <c r="L129" s="134"/>
      <c r="M129" s="134"/>
      <c r="N129" s="134"/>
      <c r="O129" s="134"/>
      <c r="P129" s="134"/>
    </row>
    <row r="130" spans="1:16" ht="30" customHeight="1">
      <c r="A130" s="135" t="s">
        <v>124</v>
      </c>
      <c r="B130" s="131">
        <f t="shared" si="16"/>
        <v>3200</v>
      </c>
      <c r="C130" s="213"/>
      <c r="D130" s="213"/>
      <c r="E130" s="213"/>
      <c r="F130" s="213">
        <f t="shared" si="17"/>
        <v>3200</v>
      </c>
      <c r="G130" s="134"/>
      <c r="H130" s="134">
        <v>1179</v>
      </c>
      <c r="I130" s="134">
        <v>2021</v>
      </c>
      <c r="J130" s="134"/>
      <c r="K130" s="134"/>
      <c r="L130" s="134"/>
      <c r="M130" s="134"/>
      <c r="N130" s="134"/>
      <c r="O130" s="134"/>
      <c r="P130" s="134"/>
    </row>
    <row r="131" spans="1:16" ht="24" customHeight="1">
      <c r="A131" s="135" t="s">
        <v>752</v>
      </c>
      <c r="B131" s="131">
        <f t="shared" si="16"/>
        <v>368209</v>
      </c>
      <c r="C131" s="213">
        <f t="shared" si="18" ref="C131:C148">D131+E131</f>
        <v>258155</v>
      </c>
      <c r="D131" s="213">
        <v>208880</v>
      </c>
      <c r="E131" s="213">
        <v>49275</v>
      </c>
      <c r="F131" s="213">
        <f>SUM(G131:K131)</f>
        <v>106054</v>
      </c>
      <c r="G131" s="134"/>
      <c r="H131" s="134">
        <v>53730</v>
      </c>
      <c r="I131" s="134">
        <f>51546+I132</f>
        <v>52324</v>
      </c>
      <c r="J131" s="134"/>
      <c r="K131" s="134"/>
      <c r="L131" s="134"/>
      <c r="M131" s="134"/>
      <c r="N131" s="134">
        <v>4000</v>
      </c>
      <c r="O131" s="134"/>
      <c r="P131" s="134"/>
    </row>
    <row r="132" spans="1:16" ht="24" customHeight="1">
      <c r="A132" s="216" t="s">
        <v>839</v>
      </c>
      <c r="B132" s="131">
        <f t="shared" si="16"/>
        <v>778</v>
      </c>
      <c r="C132" s="213"/>
      <c r="D132" s="213"/>
      <c r="E132" s="213"/>
      <c r="F132" s="213">
        <f>SUM(G132:K132)</f>
        <v>778</v>
      </c>
      <c r="G132" s="134"/>
      <c r="H132" s="134"/>
      <c r="I132" s="134">
        <v>778</v>
      </c>
      <c r="J132" s="134"/>
      <c r="K132" s="134"/>
      <c r="L132" s="134"/>
      <c r="M132" s="134"/>
      <c r="N132" s="134"/>
      <c r="O132" s="134"/>
      <c r="P132" s="134"/>
    </row>
    <row r="133" spans="1:16" ht="30" customHeight="1">
      <c r="A133" s="133" t="s">
        <v>215</v>
      </c>
      <c r="B133" s="131">
        <f t="shared" si="16"/>
        <v>118153</v>
      </c>
      <c r="C133" s="213">
        <f t="shared" si="18"/>
        <v>90240</v>
      </c>
      <c r="D133" s="213">
        <v>74057</v>
      </c>
      <c r="E133" s="213">
        <v>16183</v>
      </c>
      <c r="F133" s="213">
        <f t="shared" si="17"/>
        <v>27913</v>
      </c>
      <c r="G133" s="134"/>
      <c r="H133" s="134">
        <v>8421</v>
      </c>
      <c r="I133" s="134">
        <v>19142</v>
      </c>
      <c r="J133" s="134"/>
      <c r="K133" s="134">
        <v>350</v>
      </c>
      <c r="L133" s="134"/>
      <c r="M133" s="134"/>
      <c r="N133" s="134"/>
      <c r="O133" s="134"/>
      <c r="P133" s="134"/>
    </row>
    <row r="134" spans="1:16" ht="30" customHeight="1">
      <c r="A134" s="133" t="s">
        <v>107</v>
      </c>
      <c r="B134" s="131">
        <f t="shared" si="16"/>
        <v>16115</v>
      </c>
      <c r="C134" s="213">
        <f t="shared" si="18"/>
        <v>14156</v>
      </c>
      <c r="D134" s="213">
        <v>11574</v>
      </c>
      <c r="E134" s="213">
        <v>2582</v>
      </c>
      <c r="F134" s="213">
        <f t="shared" si="17"/>
        <v>1959</v>
      </c>
      <c r="G134" s="134"/>
      <c r="H134" s="134">
        <v>787</v>
      </c>
      <c r="I134" s="134">
        <v>1172</v>
      </c>
      <c r="J134" s="134"/>
      <c r="K134" s="134"/>
      <c r="L134" s="134"/>
      <c r="M134" s="134"/>
      <c r="N134" s="134"/>
      <c r="O134" s="134"/>
      <c r="P134" s="134"/>
    </row>
    <row r="135" spans="1:16" ht="30" customHeight="1">
      <c r="A135" s="133" t="s">
        <v>102</v>
      </c>
      <c r="B135" s="131">
        <f t="shared" si="16"/>
        <v>16093</v>
      </c>
      <c r="C135" s="213">
        <f t="shared" si="18"/>
        <v>12977</v>
      </c>
      <c r="D135" s="213">
        <v>10500</v>
      </c>
      <c r="E135" s="213">
        <v>2477</v>
      </c>
      <c r="F135" s="213">
        <f t="shared" si="17"/>
        <v>3116</v>
      </c>
      <c r="G135" s="134"/>
      <c r="H135" s="134">
        <v>570</v>
      </c>
      <c r="I135" s="134">
        <v>2546</v>
      </c>
      <c r="J135" s="134"/>
      <c r="K135" s="134"/>
      <c r="L135" s="134"/>
      <c r="M135" s="134"/>
      <c r="N135" s="134"/>
      <c r="O135" s="134"/>
      <c r="P135" s="134"/>
    </row>
    <row r="136" spans="1:16" ht="30" customHeight="1">
      <c r="A136" s="133" t="s">
        <v>109</v>
      </c>
      <c r="B136" s="131">
        <f t="shared" si="16"/>
        <v>17783</v>
      </c>
      <c r="C136" s="213">
        <f t="shared" si="18"/>
        <v>13181</v>
      </c>
      <c r="D136" s="213">
        <v>10665</v>
      </c>
      <c r="E136" s="213">
        <v>2516</v>
      </c>
      <c r="F136" s="213">
        <f t="shared" si="17"/>
        <v>4602</v>
      </c>
      <c r="G136" s="134"/>
      <c r="H136" s="134">
        <v>367</v>
      </c>
      <c r="I136" s="134">
        <v>4235</v>
      </c>
      <c r="J136" s="134"/>
      <c r="K136" s="134"/>
      <c r="L136" s="134"/>
      <c r="M136" s="134"/>
      <c r="N136" s="134">
        <v>0</v>
      </c>
      <c r="O136" s="134"/>
      <c r="P136" s="134"/>
    </row>
    <row r="137" spans="1:16" ht="30" customHeight="1">
      <c r="A137" s="133" t="s">
        <v>117</v>
      </c>
      <c r="B137" s="131">
        <f t="shared" si="16"/>
        <v>19011</v>
      </c>
      <c r="C137" s="213">
        <f t="shared" si="18"/>
        <v>16437</v>
      </c>
      <c r="D137" s="213">
        <v>13300</v>
      </c>
      <c r="E137" s="213">
        <v>3137</v>
      </c>
      <c r="F137" s="213">
        <f t="shared" si="17"/>
        <v>2574</v>
      </c>
      <c r="G137" s="134"/>
      <c r="H137" s="134">
        <v>700</v>
      </c>
      <c r="I137" s="134">
        <v>1874</v>
      </c>
      <c r="J137" s="134"/>
      <c r="K137" s="134"/>
      <c r="L137" s="134"/>
      <c r="M137" s="134"/>
      <c r="N137" s="134"/>
      <c r="O137" s="134"/>
      <c r="P137" s="134"/>
    </row>
    <row r="138" spans="1:16" ht="30" customHeight="1">
      <c r="A138" s="133" t="s">
        <v>119</v>
      </c>
      <c r="B138" s="131">
        <f t="shared" si="16"/>
        <v>24027</v>
      </c>
      <c r="C138" s="213">
        <f t="shared" si="18"/>
        <v>18031</v>
      </c>
      <c r="D138" s="213">
        <v>14590</v>
      </c>
      <c r="E138" s="213">
        <v>3441</v>
      </c>
      <c r="F138" s="213">
        <f t="shared" si="17"/>
        <v>5996</v>
      </c>
      <c r="G138" s="134"/>
      <c r="H138" s="134">
        <v>1550</v>
      </c>
      <c r="I138" s="134">
        <v>4446</v>
      </c>
      <c r="J138" s="134"/>
      <c r="K138" s="134"/>
      <c r="L138" s="134"/>
      <c r="M138" s="134"/>
      <c r="N138" s="134"/>
      <c r="O138" s="134"/>
      <c r="P138" s="134"/>
    </row>
    <row r="139" spans="1:16" ht="20.25" customHeight="1">
      <c r="A139" s="133" t="s">
        <v>125</v>
      </c>
      <c r="B139" s="131">
        <f t="shared" si="16"/>
        <v>207318</v>
      </c>
      <c r="C139" s="213">
        <f t="shared" si="18"/>
        <v>172361</v>
      </c>
      <c r="D139" s="213">
        <v>139462</v>
      </c>
      <c r="E139" s="213">
        <v>32899</v>
      </c>
      <c r="F139" s="213">
        <f t="shared" si="17"/>
        <v>34957</v>
      </c>
      <c r="G139" s="134"/>
      <c r="H139" s="134">
        <f>14166+H140</f>
        <v>16166</v>
      </c>
      <c r="I139" s="134">
        <f>20791+I140</f>
        <v>18791</v>
      </c>
      <c r="J139" s="134"/>
      <c r="K139" s="134"/>
      <c r="L139" s="134"/>
      <c r="M139" s="134"/>
      <c r="N139" s="134"/>
      <c r="O139" s="134"/>
      <c r="P139" s="134"/>
    </row>
    <row r="140" spans="1:16" ht="20.25" customHeight="1">
      <c r="A140" s="216" t="s">
        <v>839</v>
      </c>
      <c r="B140" s="131">
        <f t="shared" si="16"/>
        <v>0</v>
      </c>
      <c r="C140" s="213"/>
      <c r="D140" s="213"/>
      <c r="E140" s="213"/>
      <c r="F140" s="213">
        <f t="shared" si="17"/>
        <v>0</v>
      </c>
      <c r="G140" s="134"/>
      <c r="H140" s="134">
        <v>2000</v>
      </c>
      <c r="I140" s="134">
        <v>-2000</v>
      </c>
      <c r="J140" s="134"/>
      <c r="K140" s="134"/>
      <c r="L140" s="134"/>
      <c r="M140" s="134"/>
      <c r="N140" s="134"/>
      <c r="O140" s="134"/>
      <c r="P140" s="134"/>
    </row>
    <row r="141" spans="1:16" ht="30" customHeight="1">
      <c r="A141" s="133" t="s">
        <v>250</v>
      </c>
      <c r="B141" s="131">
        <f t="shared" si="16"/>
        <v>67747</v>
      </c>
      <c r="C141" s="213">
        <f t="shared" si="18"/>
        <v>33448</v>
      </c>
      <c r="D141" s="213">
        <f>22680+2786+1598-1194</f>
        <v>25870</v>
      </c>
      <c r="E141" s="213">
        <f>6384+1194</f>
        <v>7578</v>
      </c>
      <c r="F141" s="213">
        <f t="shared" si="17"/>
        <v>34299</v>
      </c>
      <c r="G141" s="134"/>
      <c r="H141" s="134">
        <v>1541</v>
      </c>
      <c r="I141" s="134">
        <v>32758</v>
      </c>
      <c r="J141" s="134"/>
      <c r="K141" s="134"/>
      <c r="L141" s="134"/>
      <c r="M141" s="134"/>
      <c r="N141" s="134"/>
      <c r="O141" s="134"/>
      <c r="P141" s="134"/>
    </row>
    <row r="142" spans="1:16" ht="30" customHeight="1">
      <c r="A142" s="133" t="s">
        <v>114</v>
      </c>
      <c r="B142" s="131">
        <f t="shared" si="16"/>
        <v>112672</v>
      </c>
      <c r="C142" s="213">
        <f t="shared" si="18"/>
        <v>32606</v>
      </c>
      <c r="D142" s="213">
        <f>22400+3422+1542</f>
        <v>27364</v>
      </c>
      <c r="E142" s="213">
        <v>5242</v>
      </c>
      <c r="F142" s="213">
        <f t="shared" si="17"/>
        <v>80066</v>
      </c>
      <c r="G142" s="134"/>
      <c r="H142" s="134">
        <f>7774+H143</f>
        <v>15860</v>
      </c>
      <c r="I142" s="134">
        <f>63406+I143</f>
        <v>63406</v>
      </c>
      <c r="J142" s="134"/>
      <c r="K142" s="134">
        <v>800</v>
      </c>
      <c r="L142" s="134"/>
      <c r="M142" s="134"/>
      <c r="N142" s="134"/>
      <c r="O142" s="134"/>
      <c r="P142" s="134"/>
    </row>
    <row r="143" spans="1:16" ht="30" customHeight="1">
      <c r="A143" s="216" t="s">
        <v>839</v>
      </c>
      <c r="B143" s="131">
        <f t="shared" si="16"/>
        <v>8086</v>
      </c>
      <c r="C143" s="213"/>
      <c r="D143" s="213"/>
      <c r="E143" s="213"/>
      <c r="F143" s="213">
        <f t="shared" si="17"/>
        <v>8086</v>
      </c>
      <c r="G143" s="134"/>
      <c r="H143" s="134">
        <v>8086</v>
      </c>
      <c r="I143" s="134"/>
      <c r="J143" s="134"/>
      <c r="K143" s="134"/>
      <c r="L143" s="134"/>
      <c r="M143" s="134"/>
      <c r="N143" s="134"/>
      <c r="O143" s="134"/>
      <c r="P143" s="134"/>
    </row>
    <row r="144" spans="1:16" ht="30" customHeight="1">
      <c r="A144" s="133" t="s">
        <v>111</v>
      </c>
      <c r="B144" s="131">
        <f t="shared" si="16"/>
        <v>45604</v>
      </c>
      <c r="C144" s="213">
        <f t="shared" si="18"/>
        <v>34394</v>
      </c>
      <c r="D144" s="213">
        <f>22400+3887+1542</f>
        <v>27829</v>
      </c>
      <c r="E144" s="213">
        <v>6565</v>
      </c>
      <c r="F144" s="213">
        <f t="shared" si="17"/>
        <v>11210</v>
      </c>
      <c r="G144" s="134"/>
      <c r="H144" s="134">
        <v>0</v>
      </c>
      <c r="I144" s="134">
        <v>10910</v>
      </c>
      <c r="J144" s="134"/>
      <c r="K144" s="134">
        <v>300</v>
      </c>
      <c r="L144" s="134"/>
      <c r="M144" s="134"/>
      <c r="N144" s="134"/>
      <c r="O144" s="134"/>
      <c r="P144" s="134"/>
    </row>
    <row r="145" spans="1:16" ht="30" customHeight="1">
      <c r="A145" s="133" t="s">
        <v>259</v>
      </c>
      <c r="B145" s="131">
        <f t="shared" si="16"/>
        <v>58664</v>
      </c>
      <c r="C145" s="213">
        <f t="shared" si="18"/>
        <v>34089</v>
      </c>
      <c r="D145" s="213">
        <f>22694+4888</f>
        <v>27582</v>
      </c>
      <c r="E145" s="213">
        <v>6507</v>
      </c>
      <c r="F145" s="213">
        <f t="shared" si="17"/>
        <v>24575</v>
      </c>
      <c r="G145" s="134"/>
      <c r="H145" s="134">
        <v>6325</v>
      </c>
      <c r="I145" s="134">
        <v>17620</v>
      </c>
      <c r="J145" s="134"/>
      <c r="K145" s="134">
        <v>630</v>
      </c>
      <c r="L145" s="134"/>
      <c r="M145" s="134"/>
      <c r="N145" s="134"/>
      <c r="O145" s="134"/>
      <c r="P145" s="134"/>
    </row>
    <row r="146" spans="1:16" ht="30" customHeight="1">
      <c r="A146" s="133" t="s">
        <v>116</v>
      </c>
      <c r="B146" s="131">
        <f t="shared" si="16"/>
        <v>31471</v>
      </c>
      <c r="C146" s="213">
        <f t="shared" si="18"/>
        <v>24323</v>
      </c>
      <c r="D146" s="213">
        <f>14700+3442+1542</f>
        <v>19684</v>
      </c>
      <c r="E146" s="213">
        <v>4639</v>
      </c>
      <c r="F146" s="213">
        <f t="shared" si="17"/>
        <v>7148</v>
      </c>
      <c r="G146" s="134"/>
      <c r="H146" s="134">
        <v>1795</v>
      </c>
      <c r="I146" s="134">
        <v>5103</v>
      </c>
      <c r="J146" s="134"/>
      <c r="K146" s="134">
        <v>250</v>
      </c>
      <c r="L146" s="134"/>
      <c r="M146" s="134"/>
      <c r="N146" s="134"/>
      <c r="O146" s="134"/>
      <c r="P146" s="134"/>
    </row>
    <row r="147" spans="1:16" ht="30" customHeight="1">
      <c r="A147" s="133" t="s">
        <v>104</v>
      </c>
      <c r="B147" s="131">
        <f t="shared" si="16"/>
        <v>84365</v>
      </c>
      <c r="C147" s="213">
        <f t="shared" si="18"/>
        <v>30359</v>
      </c>
      <c r="D147" s="213">
        <f>19600+3422+1542</f>
        <v>24564</v>
      </c>
      <c r="E147" s="213">
        <v>5795</v>
      </c>
      <c r="F147" s="213">
        <f t="shared" si="17"/>
        <v>54006</v>
      </c>
      <c r="G147" s="134"/>
      <c r="H147" s="134">
        <v>2854</v>
      </c>
      <c r="I147" s="134">
        <v>50702</v>
      </c>
      <c r="J147" s="134"/>
      <c r="K147" s="134">
        <v>450</v>
      </c>
      <c r="L147" s="134"/>
      <c r="M147" s="134"/>
      <c r="N147" s="134"/>
      <c r="O147" s="134"/>
      <c r="P147" s="134"/>
    </row>
    <row r="148" spans="1:16" ht="30" customHeight="1">
      <c r="A148" s="133" t="s">
        <v>106</v>
      </c>
      <c r="B148" s="131">
        <f t="shared" si="16"/>
        <v>103530</v>
      </c>
      <c r="C148" s="213">
        <f t="shared" si="18"/>
        <v>34871</v>
      </c>
      <c r="D148" s="213">
        <f>22400+3887+1928</f>
        <v>28215</v>
      </c>
      <c r="E148" s="213">
        <v>6656</v>
      </c>
      <c r="F148" s="213">
        <f t="shared" si="17"/>
        <v>68659</v>
      </c>
      <c r="G148" s="134"/>
      <c r="H148" s="134">
        <v>8024</v>
      </c>
      <c r="I148" s="134">
        <v>60035</v>
      </c>
      <c r="J148" s="134"/>
      <c r="K148" s="134">
        <v>600</v>
      </c>
      <c r="L148" s="134"/>
      <c r="M148" s="134"/>
      <c r="N148" s="134"/>
      <c r="O148" s="134"/>
      <c r="P148" s="134"/>
    </row>
    <row r="149" spans="1:16" ht="19.9" customHeight="1">
      <c r="A149" s="132" t="s">
        <v>205</v>
      </c>
      <c r="B149" s="131">
        <f t="shared" si="16"/>
        <v>2840</v>
      </c>
      <c r="C149" s="213"/>
      <c r="D149" s="213"/>
      <c r="E149" s="213"/>
      <c r="F149" s="213">
        <f t="shared" si="17"/>
        <v>2840</v>
      </c>
      <c r="G149" s="134"/>
      <c r="H149" s="134">
        <v>2300</v>
      </c>
      <c r="I149" s="134">
        <v>340</v>
      </c>
      <c r="J149" s="134"/>
      <c r="K149" s="134">
        <v>200</v>
      </c>
      <c r="L149" s="134"/>
      <c r="M149" s="134"/>
      <c r="N149" s="134"/>
      <c r="O149" s="134"/>
      <c r="P149" s="134"/>
    </row>
    <row r="150" spans="1:16" ht="24.75" customHeight="1">
      <c r="A150" s="132" t="s">
        <v>204</v>
      </c>
      <c r="B150" s="131">
        <f>SUM(C150:F150,L150:P150)</f>
        <v>17383</v>
      </c>
      <c r="C150" s="213"/>
      <c r="D150" s="213"/>
      <c r="E150" s="213"/>
      <c r="F150" s="213">
        <f t="shared" si="17"/>
        <v>17383</v>
      </c>
      <c r="G150" s="134"/>
      <c r="H150" s="134">
        <v>13729</v>
      </c>
      <c r="I150" s="134">
        <v>3654</v>
      </c>
      <c r="J150" s="134"/>
      <c r="K150" s="134"/>
      <c r="L150" s="134"/>
      <c r="M150" s="134"/>
      <c r="N150" s="134"/>
      <c r="O150" s="134"/>
      <c r="P150" s="134"/>
    </row>
    <row r="151" spans="1:16" ht="30" customHeight="1">
      <c r="A151" s="133" t="s">
        <v>723</v>
      </c>
      <c r="B151" s="131">
        <f>SUM(C151+F151,L151:P151)</f>
        <v>4294</v>
      </c>
      <c r="C151" s="213"/>
      <c r="D151" s="213"/>
      <c r="E151" s="213"/>
      <c r="F151" s="213">
        <f t="shared" si="17"/>
        <v>4294</v>
      </c>
      <c r="G151" s="134"/>
      <c r="H151" s="134">
        <f>4094</f>
        <v>4094</v>
      </c>
      <c r="I151" s="134"/>
      <c r="J151" s="134"/>
      <c r="K151" s="134">
        <f>200</f>
        <v>200</v>
      </c>
      <c r="L151" s="134"/>
      <c r="M151" s="134"/>
      <c r="N151" s="134"/>
      <c r="O151" s="134"/>
      <c r="P151" s="134"/>
    </row>
    <row r="152" spans="1:16" ht="30" customHeight="1">
      <c r="A152" s="133" t="s">
        <v>257</v>
      </c>
      <c r="B152" s="131">
        <f>SUM(C152+F152,L152:P152)</f>
        <v>5162</v>
      </c>
      <c r="C152" s="213"/>
      <c r="D152" s="213"/>
      <c r="E152" s="213"/>
      <c r="F152" s="213">
        <f t="shared" si="17"/>
        <v>5162</v>
      </c>
      <c r="G152" s="134"/>
      <c r="H152" s="134">
        <v>4299</v>
      </c>
      <c r="I152" s="134">
        <v>350</v>
      </c>
      <c r="J152" s="134"/>
      <c r="K152" s="134">
        <f>K153</f>
        <v>513</v>
      </c>
      <c r="L152" s="134"/>
      <c r="M152" s="134"/>
      <c r="N152" s="134"/>
      <c r="O152" s="134"/>
      <c r="P152" s="134"/>
    </row>
    <row r="153" spans="1:16" ht="30" customHeight="1">
      <c r="A153" s="216" t="s">
        <v>839</v>
      </c>
      <c r="B153" s="131">
        <f>SUM(C153+F153,L153:P153)</f>
        <v>513</v>
      </c>
      <c r="C153" s="213"/>
      <c r="D153" s="213"/>
      <c r="E153" s="213"/>
      <c r="F153" s="213">
        <f t="shared" si="17"/>
        <v>513</v>
      </c>
      <c r="G153" s="134"/>
      <c r="H153" s="134"/>
      <c r="I153" s="134"/>
      <c r="J153" s="134"/>
      <c r="K153" s="134">
        <v>513</v>
      </c>
      <c r="L153" s="134"/>
      <c r="M153" s="134"/>
      <c r="N153" s="134"/>
      <c r="O153" s="134"/>
      <c r="P153" s="134"/>
    </row>
    <row r="154" spans="1:16" ht="30" customHeight="1">
      <c r="A154" s="133" t="s">
        <v>724</v>
      </c>
      <c r="B154" s="131">
        <f>SUM(C154+F154,L154:P154)</f>
        <v>3136</v>
      </c>
      <c r="C154" s="213">
        <v>0</v>
      </c>
      <c r="D154" s="213"/>
      <c r="E154" s="213"/>
      <c r="F154" s="213">
        <f t="shared" si="17"/>
        <v>3136</v>
      </c>
      <c r="G154" s="134"/>
      <c r="H154" s="134">
        <v>2216</v>
      </c>
      <c r="I154" s="134">
        <v>700</v>
      </c>
      <c r="J154" s="134"/>
      <c r="K154" s="134">
        <v>220</v>
      </c>
      <c r="L154" s="134"/>
      <c r="M154" s="134"/>
      <c r="N154" s="134"/>
      <c r="O154" s="134"/>
      <c r="P154" s="134"/>
    </row>
    <row r="155" spans="1:16" ht="30" customHeight="1">
      <c r="A155" s="135" t="s">
        <v>249</v>
      </c>
      <c r="B155" s="131">
        <f>SUM(C155:F155,L155:P155)</f>
        <v>6101</v>
      </c>
      <c r="C155" s="213"/>
      <c r="D155" s="213"/>
      <c r="E155" s="213"/>
      <c r="F155" s="213">
        <f t="shared" si="17"/>
        <v>6101</v>
      </c>
      <c r="G155" s="134"/>
      <c r="H155" s="134">
        <v>3201</v>
      </c>
      <c r="I155" s="134">
        <v>2900</v>
      </c>
      <c r="J155" s="134"/>
      <c r="K155" s="134"/>
      <c r="L155" s="134"/>
      <c r="M155" s="134"/>
      <c r="N155" s="134"/>
      <c r="O155" s="134"/>
      <c r="P155" s="134"/>
    </row>
    <row r="156" spans="1:16" ht="30" customHeight="1">
      <c r="A156" s="135" t="s">
        <v>252</v>
      </c>
      <c r="B156" s="131">
        <f>SUM(C156+F156,L156:P156)</f>
        <v>5348</v>
      </c>
      <c r="C156" s="213"/>
      <c r="D156" s="213"/>
      <c r="E156" s="213"/>
      <c r="F156" s="213">
        <f t="shared" si="17"/>
        <v>5348</v>
      </c>
      <c r="G156" s="134"/>
      <c r="H156" s="134">
        <v>4898</v>
      </c>
      <c r="I156" s="134">
        <v>20</v>
      </c>
      <c r="J156" s="134"/>
      <c r="K156" s="134">
        <v>430</v>
      </c>
      <c r="L156" s="134"/>
      <c r="M156" s="134"/>
      <c r="N156" s="134"/>
      <c r="O156" s="134"/>
      <c r="P156" s="134"/>
    </row>
    <row r="157" spans="1:16" ht="30" customHeight="1">
      <c r="A157" s="135" t="s">
        <v>115</v>
      </c>
      <c r="B157" s="131">
        <f>SUM(C157+F157,L157:P157)</f>
        <v>5000</v>
      </c>
      <c r="C157" s="213">
        <f>D157+E157</f>
        <v>0</v>
      </c>
      <c r="D157" s="213"/>
      <c r="E157" s="213"/>
      <c r="F157" s="213">
        <f t="shared" si="17"/>
        <v>5000</v>
      </c>
      <c r="G157" s="134"/>
      <c r="H157" s="134">
        <v>3850</v>
      </c>
      <c r="I157" s="134">
        <v>700</v>
      </c>
      <c r="J157" s="134"/>
      <c r="K157" s="134">
        <v>450</v>
      </c>
      <c r="L157" s="134"/>
      <c r="M157" s="134"/>
      <c r="N157" s="134"/>
      <c r="O157" s="134"/>
      <c r="P157" s="134"/>
    </row>
    <row r="158" spans="1:16" ht="23.25" customHeight="1">
      <c r="A158" s="137" t="s">
        <v>151</v>
      </c>
      <c r="B158" s="131">
        <f>SUM(C158+F158,L158:P158)</f>
        <v>6500</v>
      </c>
      <c r="C158" s="225"/>
      <c r="D158" s="226"/>
      <c r="E158" s="226"/>
      <c r="F158" s="213">
        <f>SUM(G158:K158)</f>
        <v>6500</v>
      </c>
      <c r="G158" s="134"/>
      <c r="H158" s="134">
        <f>4600+H159</f>
        <v>4701</v>
      </c>
      <c r="I158" s="134">
        <f>100+I159</f>
        <v>1374</v>
      </c>
      <c r="J158" s="134"/>
      <c r="K158" s="134">
        <f>900+K159</f>
        <v>425</v>
      </c>
      <c r="L158" s="134"/>
      <c r="M158" s="134"/>
      <c r="N158" s="162"/>
      <c r="O158" s="134"/>
      <c r="P158" s="134"/>
    </row>
    <row r="159" spans="1:16" ht="23.25" customHeight="1">
      <c r="A159" s="241" t="s">
        <v>839</v>
      </c>
      <c r="B159" s="131">
        <f>SUM(C159+F159,L159:P159)</f>
        <v>900</v>
      </c>
      <c r="C159" s="225"/>
      <c r="D159" s="226"/>
      <c r="E159" s="226"/>
      <c r="F159" s="213">
        <f t="shared" si="17"/>
        <v>900</v>
      </c>
      <c r="G159" s="134"/>
      <c r="H159" s="134">
        <v>101</v>
      </c>
      <c r="I159" s="134">
        <v>1274</v>
      </c>
      <c r="J159" s="134"/>
      <c r="K159" s="134">
        <v>-475</v>
      </c>
      <c r="L159" s="134"/>
      <c r="M159" s="134"/>
      <c r="N159" s="240"/>
      <c r="O159" s="134"/>
      <c r="P159" s="134"/>
    </row>
    <row r="160" spans="1:16" ht="30" customHeight="1">
      <c r="A160" s="135" t="s">
        <v>725</v>
      </c>
      <c r="B160" s="131">
        <f>SUM(C160:F160,L160:P160)</f>
        <v>3193</v>
      </c>
      <c r="C160" s="225"/>
      <c r="D160" s="225"/>
      <c r="E160" s="225"/>
      <c r="F160" s="213">
        <f t="shared" si="17"/>
        <v>2642</v>
      </c>
      <c r="G160" s="134"/>
      <c r="H160" s="134">
        <f>2930-450</f>
        <v>2480</v>
      </c>
      <c r="I160" s="134">
        <f>203-126</f>
        <v>77</v>
      </c>
      <c r="J160" s="134"/>
      <c r="K160" s="134">
        <f>60+25</f>
        <v>85</v>
      </c>
      <c r="L160" s="134"/>
      <c r="M160" s="134"/>
      <c r="N160" s="160">
        <v>551</v>
      </c>
      <c r="O160" s="134"/>
      <c r="P160" s="134"/>
    </row>
    <row r="161" spans="1:16" ht="30" customHeight="1">
      <c r="A161" s="135" t="s">
        <v>108</v>
      </c>
      <c r="B161" s="131">
        <f t="shared" si="19" ref="B161:B170">SUM(C161+F161,L161:P161)</f>
        <v>7036</v>
      </c>
      <c r="C161" s="213"/>
      <c r="D161" s="213"/>
      <c r="E161" s="213"/>
      <c r="F161" s="213">
        <f t="shared" si="17"/>
        <v>5436</v>
      </c>
      <c r="G161" s="134"/>
      <c r="H161" s="134">
        <v>4953</v>
      </c>
      <c r="I161" s="134">
        <v>260</v>
      </c>
      <c r="J161" s="134"/>
      <c r="K161" s="134">
        <v>223</v>
      </c>
      <c r="L161" s="134"/>
      <c r="M161" s="134"/>
      <c r="N161" s="134">
        <v>1600</v>
      </c>
      <c r="O161" s="134"/>
      <c r="P161" s="134"/>
    </row>
    <row r="162" spans="1:16" ht="30" customHeight="1">
      <c r="A162" s="135" t="s">
        <v>112</v>
      </c>
      <c r="B162" s="131">
        <f t="shared" si="19"/>
        <v>2977</v>
      </c>
      <c r="C162" s="213"/>
      <c r="D162" s="213"/>
      <c r="E162" s="213"/>
      <c r="F162" s="213">
        <f t="shared" si="17"/>
        <v>2977</v>
      </c>
      <c r="G162" s="134"/>
      <c r="H162" s="134">
        <v>2330</v>
      </c>
      <c r="I162" s="134">
        <v>339</v>
      </c>
      <c r="J162" s="134"/>
      <c r="K162" s="134">
        <v>308</v>
      </c>
      <c r="L162" s="134"/>
      <c r="M162" s="134"/>
      <c r="N162" s="134"/>
      <c r="O162" s="134"/>
      <c r="P162" s="134"/>
    </row>
    <row r="163" spans="1:16" ht="21.6" customHeight="1">
      <c r="A163" s="137" t="s">
        <v>152</v>
      </c>
      <c r="B163" s="131">
        <f t="shared" si="19"/>
        <v>6650</v>
      </c>
      <c r="C163" s="224"/>
      <c r="D163" s="225"/>
      <c r="E163" s="225"/>
      <c r="F163" s="213">
        <f t="shared" si="17"/>
        <v>6650</v>
      </c>
      <c r="G163" s="134"/>
      <c r="H163" s="134">
        <f>4850+330</f>
        <v>5180</v>
      </c>
      <c r="I163" s="134">
        <f>1800-330+I164</f>
        <v>970</v>
      </c>
      <c r="J163" s="134"/>
      <c r="K163" s="134">
        <f>K164</f>
        <v>500</v>
      </c>
      <c r="L163" s="134"/>
      <c r="M163" s="134"/>
      <c r="N163" s="158"/>
      <c r="O163" s="134"/>
      <c r="P163" s="134"/>
    </row>
    <row r="164" spans="1:16" ht="21.6" customHeight="1">
      <c r="A164" s="241" t="s">
        <v>839</v>
      </c>
      <c r="B164" s="131">
        <f t="shared" si="19"/>
        <v>0</v>
      </c>
      <c r="C164" s="227"/>
      <c r="D164" s="225"/>
      <c r="E164" s="227"/>
      <c r="F164" s="213">
        <f t="shared" si="17"/>
        <v>0</v>
      </c>
      <c r="G164" s="134"/>
      <c r="H164" s="134"/>
      <c r="I164" s="134">
        <v>-500</v>
      </c>
      <c r="J164" s="134"/>
      <c r="K164" s="134">
        <v>500</v>
      </c>
      <c r="L164" s="134"/>
      <c r="M164" s="134"/>
      <c r="N164" s="240"/>
      <c r="O164" s="134"/>
      <c r="P164" s="134"/>
    </row>
    <row r="165" spans="1:16" ht="30" customHeight="1">
      <c r="A165" s="135" t="s">
        <v>113</v>
      </c>
      <c r="B165" s="131">
        <f t="shared" si="19"/>
        <v>2127</v>
      </c>
      <c r="C165" s="213"/>
      <c r="D165" s="213"/>
      <c r="E165" s="213"/>
      <c r="F165" s="213">
        <f t="shared" si="17"/>
        <v>2127</v>
      </c>
      <c r="G165" s="134"/>
      <c r="H165" s="134">
        <v>1640</v>
      </c>
      <c r="I165" s="134">
        <v>200</v>
      </c>
      <c r="J165" s="134"/>
      <c r="K165" s="134">
        <v>287</v>
      </c>
      <c r="L165" s="134"/>
      <c r="M165" s="134"/>
      <c r="N165" s="134"/>
      <c r="O165" s="134"/>
      <c r="P165" s="134"/>
    </row>
    <row r="166" spans="1:16" ht="21" customHeight="1">
      <c r="A166" s="135" t="s">
        <v>260</v>
      </c>
      <c r="B166" s="131">
        <f t="shared" si="19"/>
        <v>9405</v>
      </c>
      <c r="C166" s="213"/>
      <c r="D166" s="213"/>
      <c r="E166" s="213"/>
      <c r="F166" s="213">
        <f t="shared" si="20" ref="F166:F188">SUM(G166:K166)</f>
        <v>9405</v>
      </c>
      <c r="G166" s="134"/>
      <c r="H166" s="134">
        <v>7601</v>
      </c>
      <c r="I166" s="134">
        <v>984</v>
      </c>
      <c r="J166" s="134"/>
      <c r="K166" s="134">
        <v>820</v>
      </c>
      <c r="L166" s="134"/>
      <c r="M166" s="134"/>
      <c r="N166" s="134"/>
      <c r="O166" s="134"/>
      <c r="P166" s="134"/>
    </row>
    <row r="167" spans="1:16" ht="30" customHeight="1">
      <c r="A167" s="135" t="s">
        <v>110</v>
      </c>
      <c r="B167" s="131">
        <f t="shared" si="19"/>
        <v>3605</v>
      </c>
      <c r="C167" s="213"/>
      <c r="D167" s="213"/>
      <c r="E167" s="213"/>
      <c r="F167" s="213">
        <f t="shared" si="20"/>
        <v>3605</v>
      </c>
      <c r="G167" s="134"/>
      <c r="H167" s="134">
        <v>1840</v>
      </c>
      <c r="I167" s="134">
        <v>1560</v>
      </c>
      <c r="J167" s="134"/>
      <c r="K167" s="134">
        <v>205</v>
      </c>
      <c r="L167" s="134"/>
      <c r="M167" s="134"/>
      <c r="N167" s="134"/>
      <c r="O167" s="134"/>
      <c r="P167" s="134"/>
    </row>
    <row r="168" spans="1:16" ht="30" customHeight="1">
      <c r="A168" s="135" t="s">
        <v>716</v>
      </c>
      <c r="B168" s="131">
        <f t="shared" si="19"/>
        <v>5659</v>
      </c>
      <c r="C168" s="213"/>
      <c r="D168" s="213"/>
      <c r="E168" s="213"/>
      <c r="F168" s="213">
        <f t="shared" si="20"/>
        <v>5659</v>
      </c>
      <c r="G168" s="134"/>
      <c r="H168" s="134">
        <v>5009</v>
      </c>
      <c r="I168" s="134">
        <v>650</v>
      </c>
      <c r="J168" s="134"/>
      <c r="K168" s="134"/>
      <c r="L168" s="134"/>
      <c r="M168" s="134"/>
      <c r="N168" s="134"/>
      <c r="O168" s="134"/>
      <c r="P168" s="134"/>
    </row>
    <row r="169" spans="1:16" ht="30" customHeight="1">
      <c r="A169" s="133" t="s">
        <v>118</v>
      </c>
      <c r="B169" s="131">
        <f t="shared" si="19"/>
        <v>3974</v>
      </c>
      <c r="C169" s="213"/>
      <c r="D169" s="213"/>
      <c r="E169" s="213"/>
      <c r="F169" s="213">
        <f t="shared" si="20"/>
        <v>3974</v>
      </c>
      <c r="G169" s="134"/>
      <c r="H169" s="134">
        <v>3610</v>
      </c>
      <c r="I169" s="134">
        <v>280</v>
      </c>
      <c r="J169" s="134"/>
      <c r="K169" s="134">
        <v>84</v>
      </c>
      <c r="L169" s="134"/>
      <c r="M169" s="134"/>
      <c r="N169" s="134"/>
      <c r="O169" s="134"/>
      <c r="P169" s="134"/>
    </row>
    <row r="170" spans="1:16" ht="30" customHeight="1">
      <c r="A170" s="133" t="s">
        <v>105</v>
      </c>
      <c r="B170" s="131">
        <f t="shared" si="19"/>
        <v>30795</v>
      </c>
      <c r="C170" s="213">
        <f>D170+E170</f>
        <v>22926</v>
      </c>
      <c r="D170" s="213">
        <f>22248+940-4638</f>
        <v>18550</v>
      </c>
      <c r="E170" s="213">
        <v>4376</v>
      </c>
      <c r="F170" s="213">
        <f t="shared" si="20"/>
        <v>7869</v>
      </c>
      <c r="G170" s="134"/>
      <c r="H170" s="134">
        <v>3299</v>
      </c>
      <c r="I170" s="134">
        <v>2970</v>
      </c>
      <c r="J170" s="134"/>
      <c r="K170" s="134">
        <v>1600</v>
      </c>
      <c r="L170" s="134"/>
      <c r="M170" s="134"/>
      <c r="N170" s="134"/>
      <c r="O170" s="134"/>
      <c r="P170" s="134"/>
    </row>
    <row r="171" spans="1:16" ht="30" customHeight="1">
      <c r="A171" s="133" t="s">
        <v>732</v>
      </c>
      <c r="B171" s="131">
        <f>SUM(C171:F171,L171:P171)</f>
        <v>2560</v>
      </c>
      <c r="C171" s="213"/>
      <c r="D171" s="213"/>
      <c r="E171" s="213"/>
      <c r="F171" s="213">
        <f t="shared" si="20"/>
        <v>2560</v>
      </c>
      <c r="G171" s="134"/>
      <c r="H171" s="134">
        <v>2560</v>
      </c>
      <c r="I171" s="134"/>
      <c r="J171" s="134"/>
      <c r="K171" s="134"/>
      <c r="L171" s="134"/>
      <c r="M171" s="134"/>
      <c r="N171" s="134"/>
      <c r="O171" s="134"/>
      <c r="P171" s="134"/>
    </row>
    <row r="172" spans="1:16" ht="30" customHeight="1">
      <c r="A172" s="133" t="s">
        <v>120</v>
      </c>
      <c r="B172" s="131">
        <f>SUM(C172+F172,L172:P172)</f>
        <v>12366</v>
      </c>
      <c r="C172" s="213">
        <f>D172+E172</f>
        <v>9036</v>
      </c>
      <c r="D172" s="213">
        <v>7311</v>
      </c>
      <c r="E172" s="213">
        <v>1725</v>
      </c>
      <c r="F172" s="213">
        <f t="shared" si="20"/>
        <v>3330</v>
      </c>
      <c r="G172" s="134"/>
      <c r="H172" s="134">
        <v>1479</v>
      </c>
      <c r="I172" s="134">
        <v>1400</v>
      </c>
      <c r="J172" s="134"/>
      <c r="K172" s="134">
        <v>451</v>
      </c>
      <c r="L172" s="134"/>
      <c r="M172" s="134"/>
      <c r="N172" s="134"/>
      <c r="O172" s="134"/>
      <c r="P172" s="134"/>
    </row>
    <row r="173" spans="1:16" ht="30" customHeight="1">
      <c r="A173" s="137" t="s">
        <v>148</v>
      </c>
      <c r="B173" s="131">
        <f>SUM(C173:F173,L173:P173)</f>
        <v>26000</v>
      </c>
      <c r="C173" s="224"/>
      <c r="D173" s="225"/>
      <c r="E173" s="227"/>
      <c r="F173" s="213">
        <f t="shared" si="20"/>
        <v>0</v>
      </c>
      <c r="G173" s="134"/>
      <c r="H173" s="134"/>
      <c r="I173" s="134"/>
      <c r="J173" s="134"/>
      <c r="K173" s="134"/>
      <c r="L173" s="134"/>
      <c r="M173" s="134"/>
      <c r="N173" s="158">
        <v>26000</v>
      </c>
      <c r="O173" s="134"/>
      <c r="P173" s="134"/>
    </row>
    <row r="174" spans="1:16" ht="15" customHeight="1">
      <c r="A174" s="135" t="s">
        <v>30</v>
      </c>
      <c r="B174" s="131">
        <f t="shared" si="21" ref="B174:B221">SUM(C174+F174,L174:P174)</f>
        <v>13943</v>
      </c>
      <c r="C174" s="213">
        <f>D174+E174</f>
        <v>11340</v>
      </c>
      <c r="D174" s="213">
        <f>8328+840</f>
        <v>9168</v>
      </c>
      <c r="E174" s="213">
        <v>2172</v>
      </c>
      <c r="F174" s="214">
        <f>SUM(G174:P174)</f>
        <v>2603</v>
      </c>
      <c r="G174" s="134"/>
      <c r="H174" s="134">
        <v>1361</v>
      </c>
      <c r="I174" s="134">
        <v>1242</v>
      </c>
      <c r="J174" s="134"/>
      <c r="K174" s="134"/>
      <c r="L174" s="134"/>
      <c r="M174" s="134"/>
      <c r="N174" s="134"/>
      <c r="O174" s="134"/>
      <c r="P174" s="134"/>
    </row>
    <row r="175" spans="1:16" ht="15" customHeight="1">
      <c r="A175" s="133" t="s">
        <v>31</v>
      </c>
      <c r="B175" s="131">
        <f t="shared" si="21"/>
        <v>15089</v>
      </c>
      <c r="C175" s="213">
        <f t="shared" si="22" ref="C175:C183">D175+E175</f>
        <v>12486</v>
      </c>
      <c r="D175" s="213">
        <f>2180+7818</f>
        <v>9998</v>
      </c>
      <c r="E175" s="213">
        <v>2488</v>
      </c>
      <c r="F175" s="213">
        <f>SUM(G175:K175)</f>
        <v>2603</v>
      </c>
      <c r="G175" s="134"/>
      <c r="H175" s="134">
        <v>1114</v>
      </c>
      <c r="I175" s="134">
        <v>1489</v>
      </c>
      <c r="J175" s="134"/>
      <c r="K175" s="134"/>
      <c r="L175" s="134"/>
      <c r="M175" s="134"/>
      <c r="N175" s="134"/>
      <c r="O175" s="134"/>
      <c r="P175" s="134"/>
    </row>
    <row r="176" spans="1:16" ht="15" customHeight="1">
      <c r="A176" s="133" t="s">
        <v>32</v>
      </c>
      <c r="B176" s="131">
        <f t="shared" si="21"/>
        <v>13911</v>
      </c>
      <c r="C176" s="213">
        <f t="shared" si="22"/>
        <v>11308</v>
      </c>
      <c r="D176" s="213">
        <f>840+8441</f>
        <v>9281</v>
      </c>
      <c r="E176" s="213">
        <v>2027</v>
      </c>
      <c r="F176" s="213">
        <f t="shared" si="20"/>
        <v>2603</v>
      </c>
      <c r="G176" s="134"/>
      <c r="H176" s="134">
        <v>1281</v>
      </c>
      <c r="I176" s="134">
        <v>1322</v>
      </c>
      <c r="J176" s="134"/>
      <c r="K176" s="134"/>
      <c r="L176" s="134"/>
      <c r="M176" s="134"/>
      <c r="N176" s="134"/>
      <c r="O176" s="134"/>
      <c r="P176" s="134"/>
    </row>
    <row r="177" spans="1:16" ht="15" customHeight="1">
      <c r="A177" s="133" t="s">
        <v>153</v>
      </c>
      <c r="B177" s="131">
        <f t="shared" si="21"/>
        <v>12896</v>
      </c>
      <c r="C177" s="213">
        <f>D177+E177</f>
        <v>10293</v>
      </c>
      <c r="D177" s="213">
        <f>8328</f>
        <v>8328</v>
      </c>
      <c r="E177" s="213">
        <v>1965</v>
      </c>
      <c r="F177" s="213">
        <f t="shared" si="20"/>
        <v>2603</v>
      </c>
      <c r="G177" s="134"/>
      <c r="H177" s="134">
        <v>1603</v>
      </c>
      <c r="I177" s="134">
        <v>1000</v>
      </c>
      <c r="J177" s="134"/>
      <c r="K177" s="134"/>
      <c r="L177" s="134"/>
      <c r="M177" s="134"/>
      <c r="N177" s="134"/>
      <c r="O177" s="134"/>
      <c r="P177" s="134"/>
    </row>
    <row r="178" spans="1:16" ht="15" customHeight="1">
      <c r="A178" s="133" t="s">
        <v>33</v>
      </c>
      <c r="B178" s="131">
        <f t="shared" si="21"/>
        <v>13024</v>
      </c>
      <c r="C178" s="213">
        <f t="shared" si="22"/>
        <v>10421</v>
      </c>
      <c r="D178" s="213">
        <f>8328</f>
        <v>8328</v>
      </c>
      <c r="E178" s="213">
        <v>2093</v>
      </c>
      <c r="F178" s="213">
        <f t="shared" si="20"/>
        <v>2603</v>
      </c>
      <c r="G178" s="134"/>
      <c r="H178" s="134">
        <v>1179</v>
      </c>
      <c r="I178" s="134">
        <v>1424</v>
      </c>
      <c r="J178" s="134"/>
      <c r="K178" s="134"/>
      <c r="L178" s="134"/>
      <c r="M178" s="134"/>
      <c r="N178" s="134"/>
      <c r="O178" s="134"/>
      <c r="P178" s="134"/>
    </row>
    <row r="179" spans="1:16" ht="15" customHeight="1">
      <c r="A179" s="136" t="s">
        <v>133</v>
      </c>
      <c r="B179" s="131">
        <f t="shared" si="21"/>
        <v>15914</v>
      </c>
      <c r="C179" s="224">
        <f t="shared" si="22"/>
        <v>13311</v>
      </c>
      <c r="D179" s="225">
        <f>3020+8001</f>
        <v>11021</v>
      </c>
      <c r="E179" s="227">
        <v>2290</v>
      </c>
      <c r="F179" s="213">
        <f t="shared" si="20"/>
        <v>2603</v>
      </c>
      <c r="G179" s="158"/>
      <c r="H179" s="158">
        <v>1321</v>
      </c>
      <c r="I179" s="158">
        <v>1282</v>
      </c>
      <c r="J179" s="158"/>
      <c r="K179" s="158"/>
      <c r="L179" s="158"/>
      <c r="M179" s="158"/>
      <c r="N179" s="158"/>
      <c r="O179" s="158"/>
      <c r="P179" s="158"/>
    </row>
    <row r="180" spans="1:16" ht="15" customHeight="1">
      <c r="A180" s="133" t="s">
        <v>128</v>
      </c>
      <c r="B180" s="131">
        <f t="shared" si="21"/>
        <v>15620</v>
      </c>
      <c r="C180" s="213">
        <f t="shared" si="22"/>
        <v>13017</v>
      </c>
      <c r="D180" s="213">
        <f>2100+8328</f>
        <v>10428</v>
      </c>
      <c r="E180" s="213">
        <f>624+1965</f>
        <v>2589</v>
      </c>
      <c r="F180" s="213">
        <f t="shared" si="20"/>
        <v>2603</v>
      </c>
      <c r="G180" s="134"/>
      <c r="H180" s="134">
        <v>810</v>
      </c>
      <c r="I180" s="134">
        <v>1793</v>
      </c>
      <c r="J180" s="134"/>
      <c r="K180" s="134"/>
      <c r="L180" s="134"/>
      <c r="M180" s="134"/>
      <c r="N180" s="134"/>
      <c r="O180" s="134"/>
      <c r="P180" s="134"/>
    </row>
    <row r="181" spans="1:16" ht="15" customHeight="1">
      <c r="A181" s="133" t="s">
        <v>34</v>
      </c>
      <c r="B181" s="131">
        <f t="shared" si="21"/>
        <v>16826</v>
      </c>
      <c r="C181" s="213">
        <f t="shared" si="22"/>
        <v>13223</v>
      </c>
      <c r="D181" s="213">
        <f>2267+8328</f>
        <v>10595</v>
      </c>
      <c r="E181" s="213">
        <f>663+1965</f>
        <v>2628</v>
      </c>
      <c r="F181" s="213">
        <f t="shared" si="20"/>
        <v>3603</v>
      </c>
      <c r="G181" s="134"/>
      <c r="H181" s="134">
        <v>890</v>
      </c>
      <c r="I181" s="134">
        <f>1000+1713</f>
        <v>2713</v>
      </c>
      <c r="J181" s="134"/>
      <c r="K181" s="134"/>
      <c r="L181" s="134"/>
      <c r="M181" s="134"/>
      <c r="N181" s="134"/>
      <c r="O181" s="134"/>
      <c r="P181" s="134"/>
    </row>
    <row r="182" spans="1:16" ht="15" customHeight="1">
      <c r="A182" s="133" t="s">
        <v>35</v>
      </c>
      <c r="B182" s="131">
        <f t="shared" si="21"/>
        <v>13024</v>
      </c>
      <c r="C182" s="213">
        <f t="shared" si="22"/>
        <v>10421</v>
      </c>
      <c r="D182" s="213">
        <f>8328</f>
        <v>8328</v>
      </c>
      <c r="E182" s="213">
        <v>2093</v>
      </c>
      <c r="F182" s="213">
        <f t="shared" si="20"/>
        <v>2603</v>
      </c>
      <c r="G182" s="134"/>
      <c r="H182" s="134">
        <v>1399</v>
      </c>
      <c r="I182" s="134">
        <v>1204</v>
      </c>
      <c r="J182" s="134"/>
      <c r="K182" s="134"/>
      <c r="L182" s="134"/>
      <c r="M182" s="134"/>
      <c r="N182" s="134"/>
      <c r="O182" s="134"/>
      <c r="P182" s="134"/>
    </row>
    <row r="183" spans="1:16" ht="30" customHeight="1">
      <c r="A183" s="136" t="s">
        <v>189</v>
      </c>
      <c r="B183" s="131">
        <f t="shared" si="21"/>
        <v>19829</v>
      </c>
      <c r="C183" s="228">
        <f t="shared" si="22"/>
        <v>11028</v>
      </c>
      <c r="D183" s="227">
        <v>8923</v>
      </c>
      <c r="E183" s="225">
        <v>2105</v>
      </c>
      <c r="F183" s="213">
        <f t="shared" si="20"/>
        <v>8801</v>
      </c>
      <c r="G183" s="158"/>
      <c r="H183" s="158">
        <v>3366</v>
      </c>
      <c r="I183" s="158">
        <v>5435</v>
      </c>
      <c r="J183" s="158"/>
      <c r="K183" s="158"/>
      <c r="L183" s="158"/>
      <c r="M183" s="158"/>
      <c r="N183" s="158"/>
      <c r="O183" s="158"/>
      <c r="P183" s="158"/>
    </row>
    <row r="184" spans="1:16" ht="15" customHeight="1">
      <c r="A184" s="133" t="s">
        <v>177</v>
      </c>
      <c r="B184" s="131">
        <f t="shared" si="21"/>
        <v>76922</v>
      </c>
      <c r="C184" s="213">
        <f>D184+E184</f>
        <v>70138</v>
      </c>
      <c r="D184" s="213">
        <v>56333</v>
      </c>
      <c r="E184" s="213">
        <v>13805</v>
      </c>
      <c r="F184" s="213">
        <f t="shared" si="20"/>
        <v>6784</v>
      </c>
      <c r="G184" s="134">
        <f>80+G185</f>
        <v>120</v>
      </c>
      <c r="H184" s="134">
        <f>575+H185</f>
        <v>535</v>
      </c>
      <c r="I184" s="134">
        <v>6129</v>
      </c>
      <c r="J184" s="134"/>
      <c r="K184" s="134"/>
      <c r="L184" s="134"/>
      <c r="M184" s="134"/>
      <c r="N184" s="134"/>
      <c r="O184" s="134"/>
      <c r="P184" s="134"/>
    </row>
    <row r="185" spans="1:16" ht="15" customHeight="1">
      <c r="A185" s="216" t="s">
        <v>839</v>
      </c>
      <c r="B185" s="131">
        <f t="shared" si="21"/>
        <v>0</v>
      </c>
      <c r="C185" s="213"/>
      <c r="D185" s="213"/>
      <c r="E185" s="213"/>
      <c r="F185" s="213">
        <f t="shared" si="20"/>
        <v>0</v>
      </c>
      <c r="G185" s="134">
        <v>40</v>
      </c>
      <c r="H185" s="134">
        <v>-40</v>
      </c>
      <c r="I185" s="134"/>
      <c r="J185" s="134"/>
      <c r="K185" s="134"/>
      <c r="L185" s="134"/>
      <c r="M185" s="134"/>
      <c r="N185" s="134"/>
      <c r="O185" s="134"/>
      <c r="P185" s="134"/>
    </row>
    <row r="186" spans="1:16" s="120" customFormat="1" ht="30" customHeight="1">
      <c r="A186" s="133" t="s">
        <v>208</v>
      </c>
      <c r="B186" s="131">
        <f>SUM(C186+F186,L186:P186)</f>
        <v>32894</v>
      </c>
      <c r="C186" s="134">
        <f>D186+E186</f>
        <v>2860</v>
      </c>
      <c r="D186" s="134">
        <f>2860-294</f>
        <v>2566</v>
      </c>
      <c r="E186" s="134">
        <v>294</v>
      </c>
      <c r="F186" s="134">
        <f t="shared" si="20"/>
        <v>30034</v>
      </c>
      <c r="G186" s="134">
        <f>3484+G187</f>
        <v>3084</v>
      </c>
      <c r="H186" s="134">
        <f>12505+H187</f>
        <v>16905</v>
      </c>
      <c r="I186" s="134">
        <f>14045+I187</f>
        <v>10045</v>
      </c>
      <c r="J186" s="134"/>
      <c r="K186" s="134"/>
      <c r="L186" s="134"/>
      <c r="M186" s="134"/>
      <c r="N186" s="134"/>
      <c r="O186" s="134"/>
      <c r="P186" s="134"/>
    </row>
    <row r="187" spans="1:16" ht="30" customHeight="1">
      <c r="A187" s="216" t="s">
        <v>839</v>
      </c>
      <c r="B187" s="131">
        <f t="shared" si="21"/>
        <v>0</v>
      </c>
      <c r="C187" s="213"/>
      <c r="D187" s="213"/>
      <c r="E187" s="213"/>
      <c r="F187" s="213">
        <f t="shared" si="20"/>
        <v>0</v>
      </c>
      <c r="G187" s="134">
        <v>-400</v>
      </c>
      <c r="H187" s="134">
        <v>4400</v>
      </c>
      <c r="I187" s="134">
        <v>-4000</v>
      </c>
      <c r="J187" s="134"/>
      <c r="K187" s="134"/>
      <c r="L187" s="134"/>
      <c r="M187" s="134"/>
      <c r="N187" s="134"/>
      <c r="O187" s="134"/>
      <c r="P187" s="134"/>
    </row>
    <row r="188" spans="1:16" s="120" customFormat="1" ht="27.75" customHeight="1">
      <c r="A188" s="133" t="s">
        <v>782</v>
      </c>
      <c r="B188" s="131">
        <f t="shared" si="21"/>
        <v>19169</v>
      </c>
      <c r="C188" s="213">
        <f>D188+E188</f>
        <v>400</v>
      </c>
      <c r="D188" s="213">
        <v>320</v>
      </c>
      <c r="E188" s="213">
        <v>80</v>
      </c>
      <c r="F188" s="213">
        <f t="shared" si="20"/>
        <v>18769</v>
      </c>
      <c r="G188" s="134">
        <v>7713</v>
      </c>
      <c r="H188" s="134">
        <v>1300</v>
      </c>
      <c r="I188" s="134">
        <v>9756</v>
      </c>
      <c r="J188" s="134"/>
      <c r="K188" s="134"/>
      <c r="L188" s="134"/>
      <c r="M188" s="134"/>
      <c r="N188" s="134"/>
      <c r="O188" s="134"/>
      <c r="P188" s="134"/>
    </row>
    <row r="189" spans="1:16" ht="15" customHeight="1">
      <c r="A189" s="133" t="s">
        <v>230</v>
      </c>
      <c r="B189" s="131">
        <f t="shared" si="21"/>
        <v>25492</v>
      </c>
      <c r="C189" s="213">
        <f>D189+E189</f>
        <v>15084</v>
      </c>
      <c r="D189" s="213">
        <v>12030</v>
      </c>
      <c r="E189" s="213">
        <v>3054</v>
      </c>
      <c r="F189" s="213">
        <f>SUM(G189:K189)</f>
        <v>9008</v>
      </c>
      <c r="G189" s="134"/>
      <c r="H189" s="134">
        <v>2423</v>
      </c>
      <c r="I189" s="134">
        <f>7185-600</f>
        <v>6585</v>
      </c>
      <c r="J189" s="134"/>
      <c r="K189" s="134"/>
      <c r="L189" s="134"/>
      <c r="M189" s="134"/>
      <c r="N189" s="134">
        <f>800+600</f>
        <v>1400</v>
      </c>
      <c r="O189" s="134"/>
      <c r="P189" s="134"/>
    </row>
    <row r="190" spans="1:16" ht="15" customHeight="1">
      <c r="A190" s="133" t="s">
        <v>36</v>
      </c>
      <c r="B190" s="131">
        <f t="shared" si="21"/>
        <v>473195</v>
      </c>
      <c r="C190" s="213">
        <f t="shared" si="23" ref="C190:C201">D190+E190</f>
        <v>406263</v>
      </c>
      <c r="D190" s="213">
        <v>328878</v>
      </c>
      <c r="E190" s="213">
        <v>77385</v>
      </c>
      <c r="F190" s="213">
        <f t="shared" si="24" ref="F190:F223">SUM(G190:K190)</f>
        <v>42532</v>
      </c>
      <c r="G190" s="134">
        <v>270</v>
      </c>
      <c r="H190" s="134">
        <v>23992</v>
      </c>
      <c r="I190" s="134">
        <v>4870</v>
      </c>
      <c r="J190" s="134">
        <v>13400</v>
      </c>
      <c r="K190" s="134"/>
      <c r="L190" s="134"/>
      <c r="M190" s="134"/>
      <c r="N190" s="134">
        <v>24400</v>
      </c>
      <c r="O190" s="134"/>
      <c r="P190" s="134"/>
    </row>
    <row r="191" spans="1:16" ht="15" customHeight="1">
      <c r="A191" s="132" t="s">
        <v>82</v>
      </c>
      <c r="B191" s="131">
        <f t="shared" si="21"/>
        <v>127876</v>
      </c>
      <c r="C191" s="213">
        <f t="shared" si="23"/>
        <v>97105</v>
      </c>
      <c r="D191" s="213">
        <v>78144</v>
      </c>
      <c r="E191" s="213">
        <v>18961</v>
      </c>
      <c r="F191" s="213">
        <f t="shared" si="24"/>
        <v>30771</v>
      </c>
      <c r="G191" s="134">
        <v>203</v>
      </c>
      <c r="H191" s="134">
        <f>28288+H192</f>
        <v>28286</v>
      </c>
      <c r="I191" s="134">
        <v>2280</v>
      </c>
      <c r="J191" s="134"/>
      <c r="K191" s="134">
        <f>K192</f>
        <v>2</v>
      </c>
      <c r="L191" s="134"/>
      <c r="M191" s="134"/>
      <c r="N191" s="134"/>
      <c r="O191" s="134"/>
      <c r="P191" s="134"/>
    </row>
    <row r="192" spans="1:16" ht="15" customHeight="1">
      <c r="A192" s="243" t="s">
        <v>839</v>
      </c>
      <c r="B192" s="131">
        <f t="shared" si="21"/>
        <v>0</v>
      </c>
      <c r="C192" s="229"/>
      <c r="D192" s="229"/>
      <c r="E192" s="229"/>
      <c r="F192" s="213">
        <f t="shared" si="24"/>
        <v>0</v>
      </c>
      <c r="G192" s="202"/>
      <c r="H192" s="202">
        <v>-2</v>
      </c>
      <c r="I192" s="202"/>
      <c r="J192" s="202"/>
      <c r="K192" s="202">
        <v>2</v>
      </c>
      <c r="L192" s="202"/>
      <c r="M192" s="202"/>
      <c r="N192" s="202"/>
      <c r="O192" s="202"/>
      <c r="P192" s="202"/>
    </row>
    <row r="193" spans="1:16" ht="15" customHeight="1">
      <c r="A193" s="204" t="s">
        <v>154</v>
      </c>
      <c r="B193" s="255">
        <f t="shared" si="21"/>
        <v>49301</v>
      </c>
      <c r="C193" s="229">
        <f t="shared" si="23"/>
        <v>40635</v>
      </c>
      <c r="D193" s="229">
        <f>33507-642</f>
        <v>32865</v>
      </c>
      <c r="E193" s="229">
        <f>7128+642</f>
        <v>7770</v>
      </c>
      <c r="F193" s="229">
        <f t="shared" si="24"/>
        <v>8566</v>
      </c>
      <c r="G193" s="202">
        <v>90</v>
      </c>
      <c r="H193" s="202">
        <v>3453</v>
      </c>
      <c r="I193" s="202">
        <v>5023</v>
      </c>
      <c r="J193" s="202"/>
      <c r="K193" s="202"/>
      <c r="L193" s="202"/>
      <c r="M193" s="202"/>
      <c r="N193" s="202">
        <v>100</v>
      </c>
      <c r="O193" s="202"/>
      <c r="P193" s="202"/>
    </row>
    <row r="194" spans="1:16" ht="15" customHeight="1">
      <c r="A194" s="208" t="s">
        <v>136</v>
      </c>
      <c r="B194" s="131">
        <f t="shared" si="21"/>
        <v>10051</v>
      </c>
      <c r="C194" s="225">
        <f t="shared" si="23"/>
        <v>9087</v>
      </c>
      <c r="D194" s="225">
        <v>7749</v>
      </c>
      <c r="E194" s="225">
        <v>1338</v>
      </c>
      <c r="F194" s="213">
        <f t="shared" si="24"/>
        <v>964</v>
      </c>
      <c r="G194" s="160">
        <v>30</v>
      </c>
      <c r="H194" s="160">
        <v>392</v>
      </c>
      <c r="I194" s="160">
        <v>542</v>
      </c>
      <c r="J194" s="160"/>
      <c r="K194" s="160"/>
      <c r="L194" s="160"/>
      <c r="M194" s="160"/>
      <c r="N194" s="160"/>
      <c r="O194" s="160"/>
      <c r="P194" s="207"/>
    </row>
    <row r="195" spans="1:16" ht="20.25" customHeight="1">
      <c r="A195" s="205" t="s">
        <v>135</v>
      </c>
      <c r="B195" s="256">
        <f t="shared" si="21"/>
        <v>40744</v>
      </c>
      <c r="C195" s="230">
        <f t="shared" si="23"/>
        <v>27541</v>
      </c>
      <c r="D195" s="230">
        <v>22393</v>
      </c>
      <c r="E195" s="230">
        <v>5148</v>
      </c>
      <c r="F195" s="230">
        <f t="shared" si="24"/>
        <v>13203</v>
      </c>
      <c r="G195" s="206">
        <v>80</v>
      </c>
      <c r="H195" s="206">
        <f>3158+H196</f>
        <v>3259</v>
      </c>
      <c r="I195" s="206">
        <f>9965+I196</f>
        <v>9864</v>
      </c>
      <c r="J195" s="206"/>
      <c r="K195" s="206"/>
      <c r="L195" s="206"/>
      <c r="M195" s="206"/>
      <c r="N195" s="206"/>
      <c r="O195" s="206"/>
      <c r="P195" s="206"/>
    </row>
    <row r="196" spans="1:16" ht="20.25" customHeight="1">
      <c r="A196" s="245" t="s">
        <v>839</v>
      </c>
      <c r="B196" s="256">
        <f t="shared" si="21"/>
        <v>0</v>
      </c>
      <c r="C196" s="230"/>
      <c r="D196" s="230"/>
      <c r="E196" s="230"/>
      <c r="F196" s="230">
        <f t="shared" si="24"/>
        <v>0</v>
      </c>
      <c r="G196" s="206"/>
      <c r="H196" s="206">
        <v>101</v>
      </c>
      <c r="I196" s="206">
        <v>-101</v>
      </c>
      <c r="J196" s="206"/>
      <c r="K196" s="206"/>
      <c r="L196" s="206"/>
      <c r="M196" s="206"/>
      <c r="N196" s="206"/>
      <c r="O196" s="206"/>
      <c r="P196" s="206"/>
    </row>
    <row r="197" spans="1:16" ht="30" customHeight="1">
      <c r="A197" s="135" t="s">
        <v>134</v>
      </c>
      <c r="B197" s="131">
        <f t="shared" si="21"/>
        <v>13905</v>
      </c>
      <c r="C197" s="213">
        <f>D197+E197</f>
        <v>9173</v>
      </c>
      <c r="D197" s="213">
        <v>7417</v>
      </c>
      <c r="E197" s="213">
        <v>1756</v>
      </c>
      <c r="F197" s="213">
        <f t="shared" si="24"/>
        <v>4732</v>
      </c>
      <c r="G197" s="134"/>
      <c r="H197" s="134">
        <v>2282</v>
      </c>
      <c r="I197" s="134">
        <v>2450</v>
      </c>
      <c r="J197" s="134"/>
      <c r="K197" s="134"/>
      <c r="L197" s="134"/>
      <c r="M197" s="134"/>
      <c r="N197" s="134"/>
      <c r="O197" s="134"/>
      <c r="P197" s="134"/>
    </row>
    <row r="198" spans="1:16" ht="15" customHeight="1">
      <c r="A198" s="135" t="s">
        <v>80</v>
      </c>
      <c r="B198" s="131">
        <f t="shared" si="21"/>
        <v>247705</v>
      </c>
      <c r="C198" s="213">
        <f t="shared" si="23"/>
        <v>187607</v>
      </c>
      <c r="D198" s="213">
        <v>152250</v>
      </c>
      <c r="E198" s="213">
        <v>35357</v>
      </c>
      <c r="F198" s="213">
        <f t="shared" si="24"/>
        <v>59882</v>
      </c>
      <c r="G198" s="134">
        <v>130</v>
      </c>
      <c r="H198" s="134">
        <v>33164</v>
      </c>
      <c r="I198" s="134">
        <f>15047-216+I199</f>
        <v>26588</v>
      </c>
      <c r="J198" s="134"/>
      <c r="K198" s="134"/>
      <c r="L198" s="134"/>
      <c r="M198" s="134"/>
      <c r="N198" s="134">
        <v>216</v>
      </c>
      <c r="O198" s="134"/>
      <c r="P198" s="134"/>
    </row>
    <row r="199" spans="1:16" ht="15" customHeight="1">
      <c r="A199" s="216" t="s">
        <v>839</v>
      </c>
      <c r="B199" s="131">
        <f t="shared" si="21"/>
        <v>11757</v>
      </c>
      <c r="C199" s="213"/>
      <c r="D199" s="213"/>
      <c r="E199" s="213"/>
      <c r="F199" s="213">
        <f t="shared" si="24"/>
        <v>11757</v>
      </c>
      <c r="G199" s="134"/>
      <c r="H199" s="134"/>
      <c r="I199" s="134">
        <v>11757</v>
      </c>
      <c r="J199" s="134"/>
      <c r="K199" s="134"/>
      <c r="L199" s="134"/>
      <c r="M199" s="134"/>
      <c r="N199" s="134"/>
      <c r="O199" s="134"/>
      <c r="P199" s="134"/>
    </row>
    <row r="200" spans="1:16" ht="15" customHeight="1">
      <c r="A200" s="135" t="s">
        <v>37</v>
      </c>
      <c r="B200" s="131">
        <f>SUM(C200+F200,L200:P200)</f>
        <v>62056</v>
      </c>
      <c r="C200" s="213">
        <f>D200+E200</f>
        <v>1734</v>
      </c>
      <c r="D200" s="213">
        <f>1734-21</f>
        <v>1713</v>
      </c>
      <c r="E200" s="213">
        <v>21</v>
      </c>
      <c r="F200" s="213">
        <f>SUM(G200:K200)</f>
        <v>60322</v>
      </c>
      <c r="G200" s="134"/>
      <c r="H200" s="134">
        <f>56212</f>
        <v>56212</v>
      </c>
      <c r="I200" s="134">
        <f>4110</f>
        <v>4110</v>
      </c>
      <c r="J200" s="134"/>
      <c r="K200" s="134"/>
      <c r="L200" s="134"/>
      <c r="M200" s="134"/>
      <c r="N200" s="134"/>
      <c r="O200" s="134"/>
      <c r="P200" s="134"/>
    </row>
    <row r="201" spans="1:16" ht="15" customHeight="1">
      <c r="A201" s="135" t="s">
        <v>155</v>
      </c>
      <c r="B201" s="131">
        <f t="shared" si="21"/>
        <v>45814</v>
      </c>
      <c r="C201" s="213">
        <f t="shared" si="23"/>
        <v>36008</v>
      </c>
      <c r="D201" s="213">
        <v>30158</v>
      </c>
      <c r="E201" s="213">
        <v>5850</v>
      </c>
      <c r="F201" s="213">
        <f t="shared" si="24"/>
        <v>9806</v>
      </c>
      <c r="G201" s="134"/>
      <c r="H201" s="134">
        <v>7756</v>
      </c>
      <c r="I201" s="134">
        <f>1350+700</f>
        <v>2050</v>
      </c>
      <c r="J201" s="134"/>
      <c r="K201" s="134"/>
      <c r="L201" s="134"/>
      <c r="M201" s="134"/>
      <c r="N201" s="134"/>
      <c r="O201" s="134"/>
      <c r="P201" s="134"/>
    </row>
    <row r="202" spans="1:16" ht="15" customHeight="1">
      <c r="A202" s="135" t="s">
        <v>201</v>
      </c>
      <c r="B202" s="131">
        <f t="shared" si="21"/>
        <v>46344</v>
      </c>
      <c r="C202" s="213">
        <f t="shared" si="25" ref="C202:C211">D202+E202</f>
        <v>37049</v>
      </c>
      <c r="D202" s="213">
        <v>30175</v>
      </c>
      <c r="E202" s="213">
        <v>6874</v>
      </c>
      <c r="F202" s="213">
        <f t="shared" si="24"/>
        <v>9295</v>
      </c>
      <c r="G202" s="134"/>
      <c r="H202" s="134">
        <v>6475</v>
      </c>
      <c r="I202" s="134">
        <v>2820</v>
      </c>
      <c r="J202" s="134"/>
      <c r="K202" s="134"/>
      <c r="L202" s="134"/>
      <c r="M202" s="134"/>
      <c r="N202" s="134"/>
      <c r="O202" s="134"/>
      <c r="P202" s="134"/>
    </row>
    <row r="203" spans="1:16" ht="15" customHeight="1">
      <c r="A203" s="135" t="s">
        <v>38</v>
      </c>
      <c r="B203" s="131">
        <f t="shared" si="21"/>
        <v>41948</v>
      </c>
      <c r="C203" s="213">
        <f t="shared" si="25"/>
        <v>33216</v>
      </c>
      <c r="D203" s="213">
        <v>26905</v>
      </c>
      <c r="E203" s="213">
        <v>6311</v>
      </c>
      <c r="F203" s="213">
        <f t="shared" si="24"/>
        <v>8732</v>
      </c>
      <c r="G203" s="134"/>
      <c r="H203" s="134">
        <v>4457</v>
      </c>
      <c r="I203" s="134">
        <v>4275</v>
      </c>
      <c r="J203" s="134"/>
      <c r="K203" s="134"/>
      <c r="L203" s="134"/>
      <c r="M203" s="134"/>
      <c r="N203" s="134"/>
      <c r="O203" s="134"/>
      <c r="P203" s="134"/>
    </row>
    <row r="204" spans="1:16" ht="15" customHeight="1">
      <c r="A204" s="135" t="s">
        <v>39</v>
      </c>
      <c r="B204" s="131">
        <f t="shared" si="21"/>
        <v>31644</v>
      </c>
      <c r="C204" s="213">
        <f t="shared" si="25"/>
        <v>27048</v>
      </c>
      <c r="D204" s="213">
        <v>21722</v>
      </c>
      <c r="E204" s="213">
        <v>5326</v>
      </c>
      <c r="F204" s="213">
        <f t="shared" si="24"/>
        <v>4596</v>
      </c>
      <c r="G204" s="134"/>
      <c r="H204" s="134">
        <v>2666</v>
      </c>
      <c r="I204" s="134">
        <v>1930</v>
      </c>
      <c r="J204" s="134"/>
      <c r="K204" s="134"/>
      <c r="L204" s="134"/>
      <c r="M204" s="134"/>
      <c r="N204" s="134"/>
      <c r="O204" s="134"/>
      <c r="P204" s="134"/>
    </row>
    <row r="205" spans="1:16" ht="15" customHeight="1">
      <c r="A205" s="135" t="s">
        <v>40</v>
      </c>
      <c r="B205" s="131">
        <f t="shared" si="21"/>
        <v>57400</v>
      </c>
      <c r="C205" s="213">
        <f t="shared" si="25"/>
        <v>36631</v>
      </c>
      <c r="D205" s="213">
        <v>29879</v>
      </c>
      <c r="E205" s="213">
        <v>6752</v>
      </c>
      <c r="F205" s="213">
        <f t="shared" si="24"/>
        <v>20769</v>
      </c>
      <c r="G205" s="134"/>
      <c r="H205" s="134">
        <v>13869</v>
      </c>
      <c r="I205" s="134">
        <v>6900</v>
      </c>
      <c r="J205" s="134"/>
      <c r="K205" s="134"/>
      <c r="L205" s="134"/>
      <c r="M205" s="134"/>
      <c r="N205" s="134"/>
      <c r="O205" s="134"/>
      <c r="P205" s="134"/>
    </row>
    <row r="206" spans="1:16" ht="15" customHeight="1">
      <c r="A206" s="137" t="s">
        <v>132</v>
      </c>
      <c r="B206" s="131">
        <f t="shared" si="21"/>
        <v>47314</v>
      </c>
      <c r="C206" s="224">
        <f t="shared" si="25"/>
        <v>30804</v>
      </c>
      <c r="D206" s="225">
        <v>24993</v>
      </c>
      <c r="E206" s="227">
        <v>5811</v>
      </c>
      <c r="F206" s="213">
        <f t="shared" si="24"/>
        <v>16510</v>
      </c>
      <c r="G206" s="158"/>
      <c r="H206" s="158">
        <v>12785</v>
      </c>
      <c r="I206" s="158">
        <v>3725</v>
      </c>
      <c r="J206" s="158"/>
      <c r="K206" s="158"/>
      <c r="L206" s="158"/>
      <c r="M206" s="158"/>
      <c r="N206" s="158"/>
      <c r="O206" s="158"/>
      <c r="P206" s="158"/>
    </row>
    <row r="207" spans="1:16" ht="15" customHeight="1">
      <c r="A207" s="135" t="s">
        <v>200</v>
      </c>
      <c r="B207" s="131">
        <f t="shared" si="21"/>
        <v>12114</v>
      </c>
      <c r="C207" s="213">
        <f t="shared" si="25"/>
        <v>8851</v>
      </c>
      <c r="D207" s="213">
        <f>7134-354</f>
        <v>6780</v>
      </c>
      <c r="E207" s="213">
        <f>1717+354</f>
        <v>2071</v>
      </c>
      <c r="F207" s="213">
        <f t="shared" si="24"/>
        <v>3263</v>
      </c>
      <c r="G207" s="134"/>
      <c r="H207" s="134">
        <v>2228</v>
      </c>
      <c r="I207" s="134">
        <v>1035</v>
      </c>
      <c r="J207" s="134"/>
      <c r="K207" s="134"/>
      <c r="L207" s="134"/>
      <c r="M207" s="134"/>
      <c r="N207" s="134"/>
      <c r="O207" s="134"/>
      <c r="P207" s="134"/>
    </row>
    <row r="208" spans="1:16" ht="15" customHeight="1">
      <c r="A208" s="135" t="s">
        <v>159</v>
      </c>
      <c r="B208" s="131">
        <f t="shared" si="21"/>
        <v>37450</v>
      </c>
      <c r="C208" s="213">
        <f t="shared" si="25"/>
        <v>24987</v>
      </c>
      <c r="D208" s="213">
        <v>19291</v>
      </c>
      <c r="E208" s="213">
        <v>5696</v>
      </c>
      <c r="F208" s="213">
        <f t="shared" si="24"/>
        <v>12463</v>
      </c>
      <c r="G208" s="134"/>
      <c r="H208" s="134">
        <v>6773</v>
      </c>
      <c r="I208" s="134">
        <v>5690</v>
      </c>
      <c r="J208" s="134"/>
      <c r="K208" s="134"/>
      <c r="L208" s="134"/>
      <c r="M208" s="134"/>
      <c r="N208" s="134"/>
      <c r="O208" s="134"/>
      <c r="P208" s="134"/>
    </row>
    <row r="209" spans="1:16" ht="15" customHeight="1">
      <c r="A209" s="135" t="s">
        <v>207</v>
      </c>
      <c r="B209" s="131">
        <f t="shared" si="21"/>
        <v>25294</v>
      </c>
      <c r="C209" s="213">
        <f t="shared" si="25"/>
        <v>18406</v>
      </c>
      <c r="D209" s="213">
        <v>14751</v>
      </c>
      <c r="E209" s="213">
        <v>3655</v>
      </c>
      <c r="F209" s="213">
        <f t="shared" si="24"/>
        <v>5888</v>
      </c>
      <c r="G209" s="134"/>
      <c r="H209" s="134">
        <f>4045-400-600</f>
        <v>3045</v>
      </c>
      <c r="I209" s="134">
        <v>2843</v>
      </c>
      <c r="J209" s="134"/>
      <c r="K209" s="134"/>
      <c r="L209" s="134"/>
      <c r="M209" s="134"/>
      <c r="N209" s="134">
        <v>1000</v>
      </c>
      <c r="O209" s="134"/>
      <c r="P209" s="134"/>
    </row>
    <row r="210" spans="1:16" ht="15" customHeight="1">
      <c r="A210" s="201" t="s">
        <v>198</v>
      </c>
      <c r="B210" s="255">
        <f t="shared" si="21"/>
        <v>18466</v>
      </c>
      <c r="C210" s="229">
        <f t="shared" si="25"/>
        <v>13685</v>
      </c>
      <c r="D210" s="229">
        <f>11094-777</f>
        <v>10317</v>
      </c>
      <c r="E210" s="229">
        <f>2591+777</f>
        <v>3368</v>
      </c>
      <c r="F210" s="229">
        <f t="shared" si="24"/>
        <v>4781</v>
      </c>
      <c r="G210" s="202"/>
      <c r="H210" s="202">
        <v>3012</v>
      </c>
      <c r="I210" s="202">
        <v>1769</v>
      </c>
      <c r="J210" s="202"/>
      <c r="K210" s="202"/>
      <c r="L210" s="202"/>
      <c r="M210" s="202"/>
      <c r="N210" s="202"/>
      <c r="O210" s="202"/>
      <c r="P210" s="202"/>
    </row>
    <row r="211" spans="1:16" ht="15" customHeight="1">
      <c r="A211" s="203" t="s">
        <v>192</v>
      </c>
      <c r="B211" s="256">
        <f t="shared" si="21"/>
        <v>65006</v>
      </c>
      <c r="C211" s="231">
        <f t="shared" si="25"/>
        <v>51669</v>
      </c>
      <c r="D211" s="232">
        <v>42047</v>
      </c>
      <c r="E211" s="227">
        <v>9622</v>
      </c>
      <c r="F211" s="230">
        <f t="shared" si="24"/>
        <v>12417</v>
      </c>
      <c r="G211" s="159"/>
      <c r="H211" s="159">
        <v>8402</v>
      </c>
      <c r="I211" s="159">
        <v>4015</v>
      </c>
      <c r="J211" s="159"/>
      <c r="K211" s="159"/>
      <c r="L211" s="159"/>
      <c r="M211" s="159"/>
      <c r="N211" s="159">
        <v>920</v>
      </c>
      <c r="O211" s="159"/>
      <c r="P211" s="159"/>
    </row>
    <row r="212" spans="1:16" ht="15" customHeight="1">
      <c r="A212" s="135" t="s">
        <v>218</v>
      </c>
      <c r="B212" s="131">
        <f t="shared" si="21"/>
        <v>47154</v>
      </c>
      <c r="C212" s="213">
        <f t="shared" si="26" ref="C212:C221">D212+E212</f>
        <v>38937</v>
      </c>
      <c r="D212" s="213">
        <v>31966</v>
      </c>
      <c r="E212" s="213">
        <v>6971</v>
      </c>
      <c r="F212" s="213">
        <f t="shared" si="24"/>
        <v>8217</v>
      </c>
      <c r="G212" s="134"/>
      <c r="H212" s="134">
        <v>5662</v>
      </c>
      <c r="I212" s="134">
        <v>2555</v>
      </c>
      <c r="J212" s="134"/>
      <c r="K212" s="134"/>
      <c r="L212" s="134"/>
      <c r="M212" s="134"/>
      <c r="N212" s="134"/>
      <c r="O212" s="134"/>
      <c r="P212" s="134"/>
    </row>
    <row r="213" spans="1:16" ht="15" customHeight="1">
      <c r="A213" s="135" t="s">
        <v>209</v>
      </c>
      <c r="B213" s="131">
        <f t="shared" si="21"/>
        <v>35518</v>
      </c>
      <c r="C213" s="213">
        <f t="shared" si="26"/>
        <v>28223</v>
      </c>
      <c r="D213" s="213">
        <v>22268</v>
      </c>
      <c r="E213" s="213">
        <v>5955</v>
      </c>
      <c r="F213" s="213">
        <f t="shared" si="24"/>
        <v>7295</v>
      </c>
      <c r="G213" s="134"/>
      <c r="H213" s="134">
        <v>4275</v>
      </c>
      <c r="I213" s="134">
        <v>3020</v>
      </c>
      <c r="J213" s="134"/>
      <c r="K213" s="134"/>
      <c r="L213" s="134"/>
      <c r="M213" s="134"/>
      <c r="N213" s="134"/>
      <c r="O213" s="134"/>
      <c r="P213" s="134"/>
    </row>
    <row r="214" spans="1:16" ht="15" customHeight="1">
      <c r="A214" s="135" t="s">
        <v>41</v>
      </c>
      <c r="B214" s="131">
        <f t="shared" si="21"/>
        <v>28085</v>
      </c>
      <c r="C214" s="213">
        <f t="shared" si="26"/>
        <v>19270</v>
      </c>
      <c r="D214" s="213">
        <v>15633</v>
      </c>
      <c r="E214" s="213">
        <v>3637</v>
      </c>
      <c r="F214" s="213">
        <f t="shared" si="24"/>
        <v>8815</v>
      </c>
      <c r="G214" s="134"/>
      <c r="H214" s="134">
        <v>5216</v>
      </c>
      <c r="I214" s="134">
        <v>3599</v>
      </c>
      <c r="J214" s="134"/>
      <c r="K214" s="134"/>
      <c r="L214" s="134"/>
      <c r="M214" s="134"/>
      <c r="N214" s="134"/>
      <c r="O214" s="134"/>
      <c r="P214" s="134"/>
    </row>
    <row r="215" spans="1:16" ht="15" customHeight="1">
      <c r="A215" s="135" t="s">
        <v>157</v>
      </c>
      <c r="B215" s="131">
        <f t="shared" si="21"/>
        <v>115257</v>
      </c>
      <c r="C215" s="213">
        <f t="shared" si="26"/>
        <v>82078</v>
      </c>
      <c r="D215" s="213">
        <v>66476</v>
      </c>
      <c r="E215" s="213">
        <v>15602</v>
      </c>
      <c r="F215" s="213">
        <f t="shared" si="24"/>
        <v>33179</v>
      </c>
      <c r="G215" s="134"/>
      <c r="H215" s="134">
        <f>23134+H216</f>
        <v>22924</v>
      </c>
      <c r="I215" s="134">
        <f>10045+I216</f>
        <v>10255</v>
      </c>
      <c r="J215" s="134"/>
      <c r="K215" s="134"/>
      <c r="L215" s="134"/>
      <c r="M215" s="134"/>
      <c r="N215" s="134"/>
      <c r="O215" s="134"/>
      <c r="P215" s="134"/>
    </row>
    <row r="216" spans="1:16" ht="15" customHeight="1">
      <c r="A216" s="216" t="s">
        <v>839</v>
      </c>
      <c r="B216" s="131">
        <f t="shared" si="21"/>
        <v>0</v>
      </c>
      <c r="C216" s="213"/>
      <c r="D216" s="213"/>
      <c r="E216" s="213"/>
      <c r="F216" s="213">
        <f t="shared" si="24"/>
        <v>0</v>
      </c>
      <c r="G216" s="134"/>
      <c r="H216" s="134">
        <v>-210</v>
      </c>
      <c r="I216" s="134">
        <v>210</v>
      </c>
      <c r="J216" s="134"/>
      <c r="K216" s="134"/>
      <c r="L216" s="134"/>
      <c r="M216" s="134"/>
      <c r="N216" s="134"/>
      <c r="O216" s="134"/>
      <c r="P216" s="134"/>
    </row>
    <row r="217" spans="1:16" ht="15" customHeight="1">
      <c r="A217" s="135" t="s">
        <v>156</v>
      </c>
      <c r="B217" s="131">
        <f t="shared" si="21"/>
        <v>51325</v>
      </c>
      <c r="C217" s="213">
        <f t="shared" si="26"/>
        <v>33178</v>
      </c>
      <c r="D217" s="213">
        <v>26887</v>
      </c>
      <c r="E217" s="213">
        <v>6291</v>
      </c>
      <c r="F217" s="213">
        <f t="shared" si="24"/>
        <v>18147</v>
      </c>
      <c r="G217" s="134"/>
      <c r="H217" s="134">
        <v>9726</v>
      </c>
      <c r="I217" s="134">
        <v>8421</v>
      </c>
      <c r="J217" s="134"/>
      <c r="K217" s="134"/>
      <c r="L217" s="134"/>
      <c r="M217" s="134"/>
      <c r="N217" s="134"/>
      <c r="O217" s="134"/>
      <c r="P217" s="134"/>
    </row>
    <row r="218" spans="1:17" ht="30" customHeight="1">
      <c r="A218" s="133" t="s">
        <v>160</v>
      </c>
      <c r="B218" s="131">
        <f t="shared" si="21"/>
        <v>33974</v>
      </c>
      <c r="C218" s="213">
        <f t="shared" si="26"/>
        <v>24748</v>
      </c>
      <c r="D218" s="213">
        <v>19812</v>
      </c>
      <c r="E218" s="213">
        <v>4936</v>
      </c>
      <c r="F218" s="213">
        <f t="shared" si="24"/>
        <v>9226</v>
      </c>
      <c r="G218" s="134"/>
      <c r="H218" s="134">
        <v>4396</v>
      </c>
      <c r="I218" s="134">
        <v>4830</v>
      </c>
      <c r="J218" s="134"/>
      <c r="K218" s="134"/>
      <c r="L218" s="134"/>
      <c r="M218" s="134"/>
      <c r="N218" s="134"/>
      <c r="O218" s="134"/>
      <c r="P218" s="134"/>
      <c r="Q218" s="81"/>
    </row>
    <row r="219" spans="1:16" ht="30" customHeight="1">
      <c r="A219" s="133" t="s">
        <v>158</v>
      </c>
      <c r="B219" s="131">
        <f t="shared" si="21"/>
        <v>67372</v>
      </c>
      <c r="C219" s="213">
        <f t="shared" si="26"/>
        <v>40124</v>
      </c>
      <c r="D219" s="213">
        <v>31977</v>
      </c>
      <c r="E219" s="213">
        <v>8147</v>
      </c>
      <c r="F219" s="213">
        <f t="shared" si="24"/>
        <v>27248</v>
      </c>
      <c r="G219" s="134"/>
      <c r="H219" s="134">
        <v>13013</v>
      </c>
      <c r="I219" s="134">
        <v>14235</v>
      </c>
      <c r="J219" s="134"/>
      <c r="K219" s="134"/>
      <c r="L219" s="134"/>
      <c r="M219" s="134"/>
      <c r="N219" s="134"/>
      <c r="O219" s="134"/>
      <c r="P219" s="134"/>
    </row>
    <row r="220" spans="1:16" ht="30" customHeight="1">
      <c r="A220" s="135" t="s">
        <v>875</v>
      </c>
      <c r="B220" s="131">
        <f t="shared" si="21"/>
        <v>8804</v>
      </c>
      <c r="C220" s="213">
        <f t="shared" si="26"/>
        <v>6664</v>
      </c>
      <c r="D220" s="213">
        <v>5392</v>
      </c>
      <c r="E220" s="213">
        <v>1272</v>
      </c>
      <c r="F220" s="213">
        <f t="shared" si="24"/>
        <v>2140</v>
      </c>
      <c r="G220" s="134"/>
      <c r="H220" s="134">
        <v>420</v>
      </c>
      <c r="I220" s="134">
        <v>1720</v>
      </c>
      <c r="J220" s="134"/>
      <c r="K220" s="134"/>
      <c r="L220" s="134"/>
      <c r="M220" s="134"/>
      <c r="N220" s="134"/>
      <c r="O220" s="134"/>
      <c r="P220" s="134"/>
    </row>
    <row r="221" spans="1:16" ht="30" customHeight="1">
      <c r="A221" s="135" t="s">
        <v>876</v>
      </c>
      <c r="B221" s="131">
        <f t="shared" si="21"/>
        <v>10661</v>
      </c>
      <c r="C221" s="213">
        <f t="shared" si="26"/>
        <v>8852</v>
      </c>
      <c r="D221" s="213">
        <v>6873</v>
      </c>
      <c r="E221" s="213">
        <v>1979</v>
      </c>
      <c r="F221" s="213">
        <f t="shared" si="24"/>
        <v>1809</v>
      </c>
      <c r="G221" s="134"/>
      <c r="H221" s="134">
        <v>250</v>
      </c>
      <c r="I221" s="134">
        <v>409</v>
      </c>
      <c r="J221" s="134"/>
      <c r="K221" s="134">
        <v>1150</v>
      </c>
      <c r="L221" s="134"/>
      <c r="M221" s="134"/>
      <c r="N221" s="134"/>
      <c r="O221" s="134"/>
      <c r="P221" s="134"/>
    </row>
    <row r="222" spans="1:16" ht="62.1" customHeight="1">
      <c r="A222" s="133" t="s">
        <v>231</v>
      </c>
      <c r="B222" s="131">
        <f>SUM(C222:F222,L222:P222)</f>
        <v>7745</v>
      </c>
      <c r="C222" s="213"/>
      <c r="D222" s="213"/>
      <c r="E222" s="213"/>
      <c r="F222" s="213">
        <f t="shared" si="24"/>
        <v>0</v>
      </c>
      <c r="G222" s="134"/>
      <c r="H222" s="134"/>
      <c r="I222" s="134"/>
      <c r="J222" s="134"/>
      <c r="K222" s="134"/>
      <c r="L222" s="134">
        <v>7745</v>
      </c>
      <c r="M222" s="134"/>
      <c r="N222" s="134"/>
      <c r="O222" s="134"/>
      <c r="P222" s="134"/>
    </row>
    <row r="223" spans="1:16" ht="20.25" customHeight="1">
      <c r="A223" s="132" t="s">
        <v>179</v>
      </c>
      <c r="B223" s="131">
        <f t="shared" si="27" ref="B223:B236">SUM(C223+F223,L223:P223)</f>
        <v>56506</v>
      </c>
      <c r="C223" s="225">
        <f>D223+E223</f>
        <v>51783</v>
      </c>
      <c r="D223" s="225">
        <v>42042</v>
      </c>
      <c r="E223" s="225">
        <v>9741</v>
      </c>
      <c r="F223" s="213">
        <f t="shared" si="24"/>
        <v>4723</v>
      </c>
      <c r="G223" s="160">
        <v>32</v>
      </c>
      <c r="H223" s="160">
        <v>1420</v>
      </c>
      <c r="I223" s="160">
        <v>3271</v>
      </c>
      <c r="J223" s="160"/>
      <c r="K223" s="160"/>
      <c r="L223" s="160"/>
      <c r="M223" s="160"/>
      <c r="N223" s="160"/>
      <c r="O223" s="160"/>
      <c r="P223" s="160"/>
    </row>
    <row r="224" spans="1:16" ht="21.75" customHeight="1">
      <c r="A224" s="132" t="s">
        <v>180</v>
      </c>
      <c r="B224" s="131">
        <f t="shared" si="27"/>
        <v>36083</v>
      </c>
      <c r="C224" s="225">
        <f>D224</f>
        <v>800</v>
      </c>
      <c r="D224" s="225">
        <f>800</f>
        <v>800</v>
      </c>
      <c r="E224" s="225">
        <f>0</f>
        <v>0</v>
      </c>
      <c r="F224" s="213">
        <f t="shared" si="28" ref="F224:F231">SUM(G224:K224)</f>
        <v>35283</v>
      </c>
      <c r="G224" s="160"/>
      <c r="H224" s="160">
        <f>24040</f>
        <v>24040</v>
      </c>
      <c r="I224" s="160">
        <v>11243</v>
      </c>
      <c r="J224" s="160"/>
      <c r="K224" s="160"/>
      <c r="L224" s="160"/>
      <c r="M224" s="160"/>
      <c r="N224" s="160"/>
      <c r="O224" s="160"/>
      <c r="P224" s="160"/>
    </row>
    <row r="225" spans="1:16" ht="21" customHeight="1">
      <c r="A225" s="133" t="s">
        <v>42</v>
      </c>
      <c r="B225" s="131">
        <f t="shared" si="27"/>
        <v>62508</v>
      </c>
      <c r="C225" s="213">
        <f>D225+E225</f>
        <v>2383</v>
      </c>
      <c r="D225" s="213">
        <f>500+1497</f>
        <v>1997</v>
      </c>
      <c r="E225" s="213">
        <v>386</v>
      </c>
      <c r="F225" s="213">
        <f t="shared" si="28"/>
        <v>59125</v>
      </c>
      <c r="G225" s="134"/>
      <c r="H225" s="134">
        <f>44700-1883</f>
        <v>42817</v>
      </c>
      <c r="I225" s="134">
        <v>16300</v>
      </c>
      <c r="J225" s="134"/>
      <c r="K225" s="134">
        <v>8</v>
      </c>
      <c r="L225" s="134"/>
      <c r="M225" s="134"/>
      <c r="N225" s="134"/>
      <c r="O225" s="134">
        <v>1000</v>
      </c>
      <c r="P225" s="134"/>
    </row>
    <row r="226" spans="1:16" ht="15" customHeight="1">
      <c r="A226" s="133" t="s">
        <v>43</v>
      </c>
      <c r="B226" s="131">
        <f>SUM(C226+F226,L226:P226)</f>
        <v>1043459</v>
      </c>
      <c r="C226" s="213">
        <f>D226+E226</f>
        <v>892409</v>
      </c>
      <c r="D226" s="213">
        <f>205853+332299+180571-4448+6303</f>
        <v>720578</v>
      </c>
      <c r="E226" s="213">
        <f>50408+78389+42597-1049+1486</f>
        <v>171831</v>
      </c>
      <c r="F226" s="213">
        <f t="shared" si="28"/>
        <v>121853</v>
      </c>
      <c r="G226" s="134"/>
      <c r="H226" s="134">
        <f>46839-720</f>
        <v>46119</v>
      </c>
      <c r="I226" s="134">
        <f>73754+720+I227</f>
        <v>75734</v>
      </c>
      <c r="J226" s="134"/>
      <c r="K226" s="134"/>
      <c r="L226" s="134"/>
      <c r="M226" s="134"/>
      <c r="N226" s="134">
        <f>27200+N227</f>
        <v>29197</v>
      </c>
      <c r="O226" s="134"/>
      <c r="P226" s="134"/>
    </row>
    <row r="227" spans="1:16" ht="15" customHeight="1">
      <c r="A227" s="216" t="s">
        <v>839</v>
      </c>
      <c r="B227" s="131">
        <f>SUM(C227+F227,L227:P227)</f>
        <v>3257</v>
      </c>
      <c r="C227" s="213">
        <f>D227+E227</f>
        <v>0</v>
      </c>
      <c r="D227" s="213"/>
      <c r="E227" s="213"/>
      <c r="F227" s="213">
        <f t="shared" si="28"/>
        <v>1260</v>
      </c>
      <c r="G227" s="134"/>
      <c r="H227" s="134"/>
      <c r="I227" s="134">
        <v>1260</v>
      </c>
      <c r="J227" s="134"/>
      <c r="K227" s="134"/>
      <c r="L227" s="134"/>
      <c r="M227" s="134"/>
      <c r="N227" s="134">
        <v>1997</v>
      </c>
      <c r="O227" s="134"/>
      <c r="P227" s="134"/>
    </row>
    <row r="228" spans="1:17" ht="15" customHeight="1">
      <c r="A228" s="133" t="s">
        <v>44</v>
      </c>
      <c r="B228" s="131">
        <f>SUM(C228+F228,L228:P228)</f>
        <v>673939</v>
      </c>
      <c r="C228" s="213">
        <f t="shared" si="29" ref="C228:C236">D228+E228</f>
        <v>592957</v>
      </c>
      <c r="D228" s="213">
        <f>133751+248476+66089-1236+1047</f>
        <v>448127</v>
      </c>
      <c r="E228" s="213">
        <f>70668+58616+15591-292+247</f>
        <v>144830</v>
      </c>
      <c r="F228" s="213">
        <f t="shared" si="28"/>
        <v>80142</v>
      </c>
      <c r="G228" s="134"/>
      <c r="H228" s="134">
        <v>30701</v>
      </c>
      <c r="I228" s="134">
        <f>48556+I229</f>
        <v>49441</v>
      </c>
      <c r="J228" s="134"/>
      <c r="K228" s="134"/>
      <c r="L228" s="134"/>
      <c r="M228" s="134"/>
      <c r="N228" s="134">
        <f>N229</f>
        <v>840</v>
      </c>
      <c r="O228" s="134"/>
      <c r="P228" s="134"/>
      <c r="Q228" s="81"/>
    </row>
    <row r="229" spans="1:17" ht="15" customHeight="1">
      <c r="A229" s="216" t="s">
        <v>839</v>
      </c>
      <c r="B229" s="131">
        <f>SUM(C229+F229,L229:P229)</f>
        <v>1725</v>
      </c>
      <c r="C229" s="213"/>
      <c r="D229" s="213"/>
      <c r="E229" s="213"/>
      <c r="F229" s="213">
        <f t="shared" si="28"/>
        <v>885</v>
      </c>
      <c r="G229" s="134"/>
      <c r="H229" s="134"/>
      <c r="I229" s="134">
        <v>885</v>
      </c>
      <c r="J229" s="134"/>
      <c r="K229" s="134"/>
      <c r="L229" s="134"/>
      <c r="M229" s="134"/>
      <c r="N229" s="134">
        <v>840</v>
      </c>
      <c r="O229" s="134"/>
      <c r="P229" s="134"/>
      <c r="Q229" s="81"/>
    </row>
    <row r="230" spans="1:16" ht="15" customHeight="1">
      <c r="A230" s="133" t="s">
        <v>45</v>
      </c>
      <c r="B230" s="131">
        <f t="shared" si="27"/>
        <v>126348</v>
      </c>
      <c r="C230" s="213">
        <f t="shared" si="29"/>
        <v>117675</v>
      </c>
      <c r="D230" s="213">
        <f>33320+51917+9968</f>
        <v>95205</v>
      </c>
      <c r="E230" s="213">
        <f>7871+12247+2352</f>
        <v>22470</v>
      </c>
      <c r="F230" s="213">
        <f t="shared" si="28"/>
        <v>8673</v>
      </c>
      <c r="G230" s="134"/>
      <c r="H230" s="134">
        <v>1049</v>
      </c>
      <c r="I230" s="134">
        <f>7534+I231</f>
        <v>7624</v>
      </c>
      <c r="J230" s="134"/>
      <c r="K230" s="134"/>
      <c r="L230" s="134"/>
      <c r="M230" s="134"/>
      <c r="N230" s="134"/>
      <c r="O230" s="134"/>
      <c r="P230" s="134"/>
    </row>
    <row r="231" spans="1:16" ht="15" customHeight="1">
      <c r="A231" s="216" t="s">
        <v>839</v>
      </c>
      <c r="B231" s="131">
        <f t="shared" si="27"/>
        <v>90</v>
      </c>
      <c r="C231" s="213"/>
      <c r="D231" s="213"/>
      <c r="E231" s="213"/>
      <c r="F231" s="213">
        <f t="shared" si="28"/>
        <v>90</v>
      </c>
      <c r="G231" s="134"/>
      <c r="H231" s="134"/>
      <c r="I231" s="134">
        <v>90</v>
      </c>
      <c r="J231" s="134"/>
      <c r="K231" s="134"/>
      <c r="L231" s="134"/>
      <c r="M231" s="134"/>
      <c r="N231" s="134"/>
      <c r="O231" s="134"/>
      <c r="P231" s="134"/>
    </row>
    <row r="232" spans="1:16" ht="15" customHeight="1">
      <c r="A232" s="133" t="s">
        <v>46</v>
      </c>
      <c r="B232" s="131">
        <f t="shared" si="27"/>
        <v>351434</v>
      </c>
      <c r="C232" s="213">
        <f t="shared" si="29"/>
        <v>320238</v>
      </c>
      <c r="D232" s="213">
        <f>113286+115815+29627</f>
        <v>258728</v>
      </c>
      <c r="E232" s="213">
        <f>27200+27321+6989</f>
        <v>61510</v>
      </c>
      <c r="F232" s="213">
        <f t="shared" si="30" ref="F232:F236">SUM(G232:K232)</f>
        <v>31196</v>
      </c>
      <c r="G232" s="134"/>
      <c r="H232" s="134">
        <v>7862</v>
      </c>
      <c r="I232" s="134">
        <f>23124+I233</f>
        <v>23334</v>
      </c>
      <c r="J232" s="134"/>
      <c r="K232" s="134"/>
      <c r="L232" s="134"/>
      <c r="M232" s="134"/>
      <c r="N232" s="134"/>
      <c r="O232" s="134"/>
      <c r="P232" s="134"/>
    </row>
    <row r="233" spans="1:16" ht="15" customHeight="1">
      <c r="A233" s="216" t="s">
        <v>839</v>
      </c>
      <c r="B233" s="131">
        <f t="shared" si="27"/>
        <v>210</v>
      </c>
      <c r="C233" s="213"/>
      <c r="D233" s="213"/>
      <c r="E233" s="213"/>
      <c r="F233" s="213">
        <f t="shared" si="30"/>
        <v>210</v>
      </c>
      <c r="G233" s="134"/>
      <c r="H233" s="134"/>
      <c r="I233" s="134">
        <v>210</v>
      </c>
      <c r="J233" s="134"/>
      <c r="K233" s="134"/>
      <c r="L233" s="134"/>
      <c r="M233" s="134"/>
      <c r="N233" s="134"/>
      <c r="O233" s="134"/>
      <c r="P233" s="134"/>
    </row>
    <row r="234" spans="1:16" ht="30" customHeight="1">
      <c r="A234" s="133" t="s">
        <v>166</v>
      </c>
      <c r="B234" s="131">
        <f t="shared" si="27"/>
        <v>294071</v>
      </c>
      <c r="C234" s="213">
        <f t="shared" si="29"/>
        <v>262821</v>
      </c>
      <c r="D234" s="213">
        <f>66002+115671+33578-2330</f>
        <v>212921</v>
      </c>
      <c r="E234" s="213">
        <f>15242+27287+7921-550</f>
        <v>49900</v>
      </c>
      <c r="F234" s="213">
        <f>SUM(G234:K234)</f>
        <v>28470</v>
      </c>
      <c r="G234" s="134"/>
      <c r="H234" s="134">
        <v>8320</v>
      </c>
      <c r="I234" s="134">
        <f>19685+I235</f>
        <v>20150</v>
      </c>
      <c r="J234" s="134"/>
      <c r="K234" s="134"/>
      <c r="L234" s="134"/>
      <c r="M234" s="134"/>
      <c r="N234" s="134">
        <v>2780</v>
      </c>
      <c r="O234" s="134"/>
      <c r="P234" s="134"/>
    </row>
    <row r="235" spans="1:16" ht="30" customHeight="1">
      <c r="A235" s="216" t="s">
        <v>839</v>
      </c>
      <c r="B235" s="131">
        <f t="shared" si="27"/>
        <v>465</v>
      </c>
      <c r="C235" s="213"/>
      <c r="D235" s="213"/>
      <c r="E235" s="213"/>
      <c r="F235" s="213">
        <f>SUM(G235:K235)</f>
        <v>465</v>
      </c>
      <c r="G235" s="134"/>
      <c r="H235" s="134"/>
      <c r="I235" s="134">
        <v>465</v>
      </c>
      <c r="J235" s="134"/>
      <c r="K235" s="134"/>
      <c r="L235" s="134"/>
      <c r="M235" s="134"/>
      <c r="N235" s="134"/>
      <c r="O235" s="134"/>
      <c r="P235" s="134"/>
    </row>
    <row r="236" spans="1:16" ht="30" customHeight="1">
      <c r="A236" s="133" t="s">
        <v>167</v>
      </c>
      <c r="B236" s="131">
        <f t="shared" si="27"/>
        <v>153791</v>
      </c>
      <c r="C236" s="213">
        <f t="shared" si="29"/>
        <v>124971</v>
      </c>
      <c r="D236" s="213">
        <f>38534+48829+13677</f>
        <v>101040</v>
      </c>
      <c r="E236" s="213">
        <f>9185+11519+3227</f>
        <v>23931</v>
      </c>
      <c r="F236" s="213">
        <f t="shared" si="30"/>
        <v>28820</v>
      </c>
      <c r="G236" s="134"/>
      <c r="H236" s="134">
        <v>6181</v>
      </c>
      <c r="I236" s="134">
        <v>22639</v>
      </c>
      <c r="J236" s="134"/>
      <c r="K236" s="134"/>
      <c r="L236" s="134"/>
      <c r="M236" s="134"/>
      <c r="N236" s="134"/>
      <c r="O236" s="134"/>
      <c r="P236" s="134"/>
    </row>
    <row r="237" spans="1:16" ht="15" customHeight="1">
      <c r="A237" s="133" t="s">
        <v>83</v>
      </c>
      <c r="B237" s="131">
        <f t="shared" si="31" ref="B237:B242">SUM(C237+F237,L237:P237)</f>
        <v>1262916</v>
      </c>
      <c r="C237" s="213">
        <f>E237+D237</f>
        <v>878401</v>
      </c>
      <c r="D237" s="213">
        <f>150768+13739+14092+531868-6124+447+D238</f>
        <v>706352</v>
      </c>
      <c r="E237" s="213">
        <f>40988+3241+3324+125468-1445+105+E238</f>
        <v>172049</v>
      </c>
      <c r="F237" s="213">
        <f t="shared" si="32" ref="F237:F243">SUM(G237:K237)</f>
        <v>375515</v>
      </c>
      <c r="G237" s="134">
        <v>400</v>
      </c>
      <c r="H237" s="134">
        <v>97742</v>
      </c>
      <c r="I237" s="134">
        <f>270503+I238</f>
        <v>277373</v>
      </c>
      <c r="J237" s="134"/>
      <c r="K237" s="134"/>
      <c r="L237" s="134"/>
      <c r="M237" s="134"/>
      <c r="N237" s="134">
        <v>9000</v>
      </c>
      <c r="O237" s="134"/>
      <c r="P237" s="134"/>
    </row>
    <row r="238" spans="1:16" ht="15" customHeight="1">
      <c r="A238" s="216" t="s">
        <v>839</v>
      </c>
      <c r="B238" s="131">
        <f t="shared" si="31"/>
        <v>8800</v>
      </c>
      <c r="C238" s="213">
        <f>E238+D238</f>
        <v>1930</v>
      </c>
      <c r="D238" s="213">
        <v>1562</v>
      </c>
      <c r="E238" s="213">
        <v>368</v>
      </c>
      <c r="F238" s="213">
        <f t="shared" si="32"/>
        <v>6870</v>
      </c>
      <c r="G238" s="134"/>
      <c r="H238" s="134"/>
      <c r="I238" s="134">
        <v>6870</v>
      </c>
      <c r="J238" s="134"/>
      <c r="K238" s="134"/>
      <c r="L238" s="134"/>
      <c r="M238" s="134"/>
      <c r="N238" s="134"/>
      <c r="O238" s="134"/>
      <c r="P238" s="134"/>
    </row>
    <row r="239" spans="1:16" s="120" customFormat="1" ht="15" customHeight="1">
      <c r="A239" s="133" t="s">
        <v>174</v>
      </c>
      <c r="B239" s="131">
        <f>SUM(C239+F239,L239:P239)</f>
        <v>504621</v>
      </c>
      <c r="C239" s="134">
        <f>D239+E239</f>
        <v>420553</v>
      </c>
      <c r="D239" s="134">
        <f>166995+37835+85592+4932+13677+22041-4864+4274</f>
        <v>330482</v>
      </c>
      <c r="E239" s="134">
        <f>51076+8925+20192+1164+3227+5199-1148+1436</f>
        <v>90071</v>
      </c>
      <c r="F239" s="134">
        <f t="shared" si="32"/>
        <v>81734</v>
      </c>
      <c r="G239" s="134">
        <v>40</v>
      </c>
      <c r="H239" s="134">
        <f>16519+H240</f>
        <v>21019</v>
      </c>
      <c r="I239" s="134">
        <f>64052+I240</f>
        <v>60437</v>
      </c>
      <c r="J239" s="134"/>
      <c r="K239" s="134">
        <v>238</v>
      </c>
      <c r="L239" s="134"/>
      <c r="M239" s="134"/>
      <c r="N239" s="134">
        <v>2334</v>
      </c>
      <c r="O239" s="134"/>
      <c r="P239" s="134"/>
    </row>
    <row r="240" spans="1:16" ht="15" customHeight="1">
      <c r="A240" s="216" t="s">
        <v>839</v>
      </c>
      <c r="B240" s="131">
        <f t="shared" si="31"/>
        <v>885</v>
      </c>
      <c r="C240" s="213"/>
      <c r="D240" s="213"/>
      <c r="E240" s="213"/>
      <c r="F240" s="213">
        <f t="shared" si="32"/>
        <v>885</v>
      </c>
      <c r="G240" s="134"/>
      <c r="H240" s="134">
        <v>4500</v>
      </c>
      <c r="I240" s="134">
        <f>885+(-4500)</f>
        <v>-3615</v>
      </c>
      <c r="J240" s="134"/>
      <c r="K240" s="134"/>
      <c r="L240" s="134"/>
      <c r="M240" s="134"/>
      <c r="N240" s="134"/>
      <c r="O240" s="134"/>
      <c r="P240" s="134"/>
    </row>
    <row r="241" spans="1:16" ht="30" customHeight="1">
      <c r="A241" s="133" t="s">
        <v>235</v>
      </c>
      <c r="B241" s="131">
        <f t="shared" si="31"/>
        <v>27684</v>
      </c>
      <c r="C241" s="213">
        <f>D241+E241</f>
        <v>22617</v>
      </c>
      <c r="D241" s="213">
        <f>9500+8782</f>
        <v>18282</v>
      </c>
      <c r="E241" s="213">
        <f>2262+2073</f>
        <v>4335</v>
      </c>
      <c r="F241" s="213">
        <f t="shared" si="32"/>
        <v>5067</v>
      </c>
      <c r="G241" s="134"/>
      <c r="H241" s="134">
        <v>1627</v>
      </c>
      <c r="I241" s="134">
        <v>3315</v>
      </c>
      <c r="J241" s="134"/>
      <c r="K241" s="134">
        <v>125</v>
      </c>
      <c r="L241" s="134"/>
      <c r="M241" s="134"/>
      <c r="N241" s="134"/>
      <c r="O241" s="134"/>
      <c r="P241" s="134"/>
    </row>
    <row r="242" spans="1:16" ht="15" customHeight="1">
      <c r="A242" s="239" t="s">
        <v>168</v>
      </c>
      <c r="B242" s="131">
        <f t="shared" si="31"/>
        <v>527385</v>
      </c>
      <c r="C242" s="233">
        <f>D242+E242</f>
        <v>472722</v>
      </c>
      <c r="D242" s="225">
        <f>131068+8829+173522+1761+9774+44640+12846-3500+3156</f>
        <v>382096</v>
      </c>
      <c r="E242" s="225">
        <f>31409+2083+40934+415+2306+10531+3030-826+744</f>
        <v>90626</v>
      </c>
      <c r="F242" s="213">
        <f t="shared" si="32"/>
        <v>51363</v>
      </c>
      <c r="G242" s="161"/>
      <c r="H242" s="161">
        <v>14862</v>
      </c>
      <c r="I242" s="161">
        <f>35427+I243</f>
        <v>36402</v>
      </c>
      <c r="J242" s="161">
        <v>99</v>
      </c>
      <c r="K242" s="161"/>
      <c r="L242" s="161"/>
      <c r="M242" s="161"/>
      <c r="N242" s="161">
        <v>3300</v>
      </c>
      <c r="O242" s="161"/>
      <c r="P242" s="161"/>
    </row>
    <row r="243" spans="1:16" ht="15" customHeight="1">
      <c r="A243" s="241" t="s">
        <v>839</v>
      </c>
      <c r="B243" s="131">
        <f>SUM(C243+F243,L243:P243)</f>
        <v>975</v>
      </c>
      <c r="C243" s="244"/>
      <c r="D243" s="225"/>
      <c r="E243" s="225"/>
      <c r="F243" s="213">
        <f t="shared" si="32"/>
        <v>975</v>
      </c>
      <c r="G243" s="160"/>
      <c r="H243" s="160"/>
      <c r="I243" s="160">
        <v>975</v>
      </c>
      <c r="J243" s="160"/>
      <c r="K243" s="160"/>
      <c r="L243" s="160"/>
      <c r="M243" s="160"/>
      <c r="N243" s="160"/>
      <c r="O243" s="160"/>
      <c r="P243" s="160"/>
    </row>
    <row r="244" spans="1:16" ht="15" customHeight="1">
      <c r="A244" s="133" t="s">
        <v>47</v>
      </c>
      <c r="B244" s="131">
        <f>SUM(C244+F244,L244:P244)</f>
        <v>408699</v>
      </c>
      <c r="C244" s="213">
        <f t="shared" si="33" ref="C244:C275">D244+E244</f>
        <v>359134</v>
      </c>
      <c r="D244" s="213">
        <f>124760+9774+3521+153572-1124</f>
        <v>290503</v>
      </c>
      <c r="E244" s="213">
        <f>29531+2306+831+36228-265</f>
        <v>68631</v>
      </c>
      <c r="F244" s="213">
        <f>SUM(G244:K244)</f>
        <v>48285</v>
      </c>
      <c r="G244" s="134"/>
      <c r="H244" s="134">
        <v>17990</v>
      </c>
      <c r="I244" s="134">
        <f>29031+I245</f>
        <v>30021</v>
      </c>
      <c r="J244" s="134"/>
      <c r="K244" s="134">
        <v>274</v>
      </c>
      <c r="L244" s="134"/>
      <c r="M244" s="134"/>
      <c r="N244" s="134">
        <v>1280</v>
      </c>
      <c r="O244" s="134"/>
      <c r="P244" s="134"/>
    </row>
    <row r="245" spans="1:16" ht="15" customHeight="1">
      <c r="A245" s="216" t="s">
        <v>839</v>
      </c>
      <c r="B245" s="131">
        <f t="shared" si="34" ref="B245:B251">SUM(C245+F245,L245:P245)</f>
        <v>990</v>
      </c>
      <c r="C245" s="213"/>
      <c r="D245" s="213"/>
      <c r="E245" s="213"/>
      <c r="F245" s="213">
        <f t="shared" si="35" ref="F245:F271">SUM(G245:K245)</f>
        <v>990</v>
      </c>
      <c r="G245" s="134"/>
      <c r="H245" s="134"/>
      <c r="I245" s="134">
        <v>990</v>
      </c>
      <c r="J245" s="134"/>
      <c r="K245" s="134"/>
      <c r="L245" s="134"/>
      <c r="M245" s="134"/>
      <c r="N245" s="134"/>
      <c r="O245" s="134"/>
      <c r="P245" s="134"/>
    </row>
    <row r="246" spans="1:16" ht="15" customHeight="1">
      <c r="A246" s="133" t="s">
        <v>236</v>
      </c>
      <c r="B246" s="131">
        <f>SUM(C246+F246,L246:P246)</f>
        <v>669180</v>
      </c>
      <c r="C246" s="213">
        <f>D246+E246</f>
        <v>592296</v>
      </c>
      <c r="D246" s="213">
        <f>135711+22320+8104+242117+54684+14810+6078-6502</f>
        <v>477322</v>
      </c>
      <c r="E246" s="213">
        <f>34398+5265+1912+57115+12890+3494+1434-1534</f>
        <v>114974</v>
      </c>
      <c r="F246" s="213">
        <f>SUM(G246:K246)</f>
        <v>74745</v>
      </c>
      <c r="G246" s="134">
        <f>30+74</f>
        <v>104</v>
      </c>
      <c r="H246" s="134">
        <f>23572-74</f>
        <v>23498</v>
      </c>
      <c r="I246" s="134">
        <f>49508+I247</f>
        <v>51143</v>
      </c>
      <c r="J246" s="134"/>
      <c r="K246" s="134"/>
      <c r="L246" s="134"/>
      <c r="M246" s="134"/>
      <c r="N246" s="134">
        <v>2139</v>
      </c>
      <c r="O246" s="134"/>
      <c r="P246" s="134"/>
    </row>
    <row r="247" spans="1:16" ht="15" customHeight="1">
      <c r="A247" s="216" t="s">
        <v>839</v>
      </c>
      <c r="B247" s="131">
        <f>SUM(C247+F247,L247:P247)</f>
        <v>1635</v>
      </c>
      <c r="C247" s="213"/>
      <c r="D247" s="213"/>
      <c r="E247" s="213"/>
      <c r="F247" s="213">
        <f>SUM(G247:K247)</f>
        <v>1635</v>
      </c>
      <c r="G247" s="134"/>
      <c r="H247" s="134"/>
      <c r="I247" s="134">
        <v>1635</v>
      </c>
      <c r="J247" s="134"/>
      <c r="K247" s="134"/>
      <c r="L247" s="134"/>
      <c r="M247" s="134"/>
      <c r="N247" s="134"/>
      <c r="O247" s="134"/>
      <c r="P247" s="134"/>
    </row>
    <row r="248" spans="1:16" ht="30" customHeight="1">
      <c r="A248" s="133" t="s">
        <v>238</v>
      </c>
      <c r="B248" s="131">
        <f t="shared" si="34"/>
        <v>150888</v>
      </c>
      <c r="C248" s="213">
        <f t="shared" si="33"/>
        <v>128556</v>
      </c>
      <c r="D248" s="213">
        <f>52056+50820</f>
        <v>102876</v>
      </c>
      <c r="E248" s="213">
        <f>13692+11988</f>
        <v>25680</v>
      </c>
      <c r="F248" s="213">
        <f t="shared" si="35"/>
        <v>22332</v>
      </c>
      <c r="G248" s="134"/>
      <c r="H248" s="134">
        <v>5967</v>
      </c>
      <c r="I248" s="134">
        <v>16365</v>
      </c>
      <c r="J248" s="134"/>
      <c r="K248" s="134"/>
      <c r="L248" s="134"/>
      <c r="M248" s="134"/>
      <c r="N248" s="134"/>
      <c r="O248" s="134"/>
      <c r="P248" s="134"/>
    </row>
    <row r="249" spans="1:16" ht="30" customHeight="1">
      <c r="A249" s="133" t="s">
        <v>237</v>
      </c>
      <c r="B249" s="131">
        <f t="shared" si="34"/>
        <v>111416</v>
      </c>
      <c r="C249" s="213">
        <f t="shared" si="33"/>
        <v>94018</v>
      </c>
      <c r="D249" s="213">
        <f>38834+36731</f>
        <v>75565</v>
      </c>
      <c r="E249" s="213">
        <f>9788+8665</f>
        <v>18453</v>
      </c>
      <c r="F249" s="213">
        <f t="shared" si="35"/>
        <v>17398</v>
      </c>
      <c r="G249" s="134"/>
      <c r="H249" s="134">
        <v>11603</v>
      </c>
      <c r="I249" s="134">
        <v>5795</v>
      </c>
      <c r="J249" s="134"/>
      <c r="K249" s="134"/>
      <c r="L249" s="134"/>
      <c r="M249" s="134"/>
      <c r="N249" s="134"/>
      <c r="O249" s="134"/>
      <c r="P249" s="134"/>
    </row>
    <row r="250" spans="1:16" ht="15" customHeight="1">
      <c r="A250" s="133" t="s">
        <v>164</v>
      </c>
      <c r="B250" s="131">
        <f t="shared" si="34"/>
        <v>475348</v>
      </c>
      <c r="C250" s="213">
        <f>D250+E250</f>
        <v>439738</v>
      </c>
      <c r="D250" s="213">
        <f>116483+128878+29498+3877+72336+4563</f>
        <v>355635</v>
      </c>
      <c r="E250" s="213">
        <f>27687+30402+915+6958+17064+1077</f>
        <v>84103</v>
      </c>
      <c r="F250" s="213">
        <f t="shared" si="35"/>
        <v>33573</v>
      </c>
      <c r="G250" s="134">
        <v>0</v>
      </c>
      <c r="H250" s="134">
        <v>11302</v>
      </c>
      <c r="I250" s="134">
        <v>22031</v>
      </c>
      <c r="J250" s="134">
        <v>55</v>
      </c>
      <c r="K250" s="134">
        <v>185</v>
      </c>
      <c r="L250" s="134"/>
      <c r="M250" s="134"/>
      <c r="N250" s="134">
        <v>2037</v>
      </c>
      <c r="O250" s="134"/>
      <c r="P250" s="134"/>
    </row>
    <row r="251" spans="1:16" ht="15" customHeight="1">
      <c r="A251" s="133" t="s">
        <v>261</v>
      </c>
      <c r="B251" s="131">
        <f t="shared" si="34"/>
        <v>135915</v>
      </c>
      <c r="C251" s="213">
        <f t="shared" si="33"/>
        <v>96033</v>
      </c>
      <c r="D251" s="213">
        <v>77614</v>
      </c>
      <c r="E251" s="213">
        <v>18419</v>
      </c>
      <c r="F251" s="213">
        <f t="shared" si="35"/>
        <v>39882</v>
      </c>
      <c r="G251" s="134"/>
      <c r="H251" s="134">
        <v>9257</v>
      </c>
      <c r="I251" s="134">
        <v>30575</v>
      </c>
      <c r="J251" s="134">
        <v>50</v>
      </c>
      <c r="K251" s="134"/>
      <c r="L251" s="134"/>
      <c r="M251" s="134"/>
      <c r="N251" s="134"/>
      <c r="O251" s="134"/>
      <c r="P251" s="134"/>
    </row>
    <row r="252" spans="1:16" ht="15" customHeight="1">
      <c r="A252" s="133" t="s">
        <v>48</v>
      </c>
      <c r="B252" s="131">
        <f t="shared" si="36" ref="B252:B257">SUM(C252+F252,L252:P252)</f>
        <v>1013769</v>
      </c>
      <c r="C252" s="213">
        <f t="shared" si="33"/>
        <v>804743</v>
      </c>
      <c r="D252" s="213">
        <f>212945+8454+35255+407243-13152</f>
        <v>650745</v>
      </c>
      <c r="E252" s="213">
        <f>50721+1994+8317+96069-3103</f>
        <v>153998</v>
      </c>
      <c r="F252" s="213">
        <f>SUM(G252:K252)</f>
        <v>202428</v>
      </c>
      <c r="G252" s="134"/>
      <c r="H252" s="134">
        <f>63186+5273</f>
        <v>68459</v>
      </c>
      <c r="I252" s="134">
        <f>130144+I253</f>
        <v>133969</v>
      </c>
      <c r="J252" s="134"/>
      <c r="K252" s="134"/>
      <c r="L252" s="134"/>
      <c r="M252" s="134"/>
      <c r="N252" s="134">
        <v>6598</v>
      </c>
      <c r="O252" s="134"/>
      <c r="P252" s="134"/>
    </row>
    <row r="253" spans="1:16" ht="15" customHeight="1">
      <c r="A253" s="216" t="s">
        <v>839</v>
      </c>
      <c r="B253" s="131">
        <f t="shared" si="36"/>
        <v>3825</v>
      </c>
      <c r="C253" s="213"/>
      <c r="D253" s="213"/>
      <c r="E253" s="213"/>
      <c r="F253" s="213">
        <f>SUM(G253:K253)</f>
        <v>3825</v>
      </c>
      <c r="G253" s="134"/>
      <c r="H253" s="134"/>
      <c r="I253" s="134">
        <v>3825</v>
      </c>
      <c r="J253" s="134"/>
      <c r="K253" s="134"/>
      <c r="L253" s="134"/>
      <c r="M253" s="134"/>
      <c r="N253" s="134"/>
      <c r="O253" s="134"/>
      <c r="P253" s="134"/>
    </row>
    <row r="254" spans="1:16" ht="15" customHeight="1">
      <c r="A254" s="133" t="s">
        <v>743</v>
      </c>
      <c r="B254" s="131">
        <f t="shared" si="36"/>
        <v>636496</v>
      </c>
      <c r="C254" s="213">
        <f>D254+E254</f>
        <v>518824</v>
      </c>
      <c r="D254" s="213">
        <f>178637+8454+209654+25076-6128+3156</f>
        <v>418849</v>
      </c>
      <c r="E254" s="213">
        <f>43308+1994+49458+5916-1445+744</f>
        <v>99975</v>
      </c>
      <c r="F254" s="213">
        <f t="shared" si="35"/>
        <v>115672</v>
      </c>
      <c r="G254" s="134">
        <v>160</v>
      </c>
      <c r="H254" s="134">
        <v>35898</v>
      </c>
      <c r="I254" s="134">
        <f>76260+I255</f>
        <v>79095</v>
      </c>
      <c r="J254" s="134">
        <v>213</v>
      </c>
      <c r="K254" s="134">
        <v>306</v>
      </c>
      <c r="L254" s="134"/>
      <c r="M254" s="134"/>
      <c r="N254" s="134">
        <v>2000</v>
      </c>
      <c r="O254" s="134"/>
      <c r="P254" s="134"/>
    </row>
    <row r="255" spans="1:16" ht="15" customHeight="1">
      <c r="A255" s="216" t="s">
        <v>839</v>
      </c>
      <c r="B255" s="131">
        <f t="shared" si="36"/>
        <v>2835</v>
      </c>
      <c r="C255" s="213"/>
      <c r="D255" s="213"/>
      <c r="E255" s="213"/>
      <c r="F255" s="213">
        <f t="shared" si="35"/>
        <v>2835</v>
      </c>
      <c r="G255" s="134"/>
      <c r="H255" s="134"/>
      <c r="I255" s="134">
        <v>2835</v>
      </c>
      <c r="J255" s="134"/>
      <c r="K255" s="134"/>
      <c r="L255" s="134"/>
      <c r="M255" s="134"/>
      <c r="N255" s="134"/>
      <c r="O255" s="134"/>
      <c r="P255" s="134"/>
    </row>
    <row r="256" spans="1:16" ht="30" customHeight="1">
      <c r="A256" s="133" t="s">
        <v>59</v>
      </c>
      <c r="B256" s="131">
        <f t="shared" si="36"/>
        <v>950583</v>
      </c>
      <c r="C256" s="213">
        <f t="shared" si="33"/>
        <v>708321</v>
      </c>
      <c r="D256" s="213">
        <f>148405+51888+8803+224911+147261-11394+1722+D257</f>
        <v>572557</v>
      </c>
      <c r="E256" s="213">
        <f>35706+12240+2077+53057+34739-2688+406+E257</f>
        <v>135764</v>
      </c>
      <c r="F256" s="213">
        <f t="shared" si="35"/>
        <v>229096</v>
      </c>
      <c r="G256" s="134">
        <v>250</v>
      </c>
      <c r="H256" s="134">
        <v>82639</v>
      </c>
      <c r="I256" s="134">
        <f>86831+I257</f>
        <v>146091</v>
      </c>
      <c r="J256" s="134"/>
      <c r="K256" s="134">
        <v>116</v>
      </c>
      <c r="L256" s="134"/>
      <c r="M256" s="134"/>
      <c r="N256" s="134">
        <v>2566</v>
      </c>
      <c r="O256" s="134">
        <v>10600</v>
      </c>
      <c r="P256" s="134"/>
    </row>
    <row r="257" spans="1:16" ht="20.25" customHeight="1">
      <c r="A257" s="216" t="s">
        <v>839</v>
      </c>
      <c r="B257" s="131">
        <f t="shared" si="36"/>
        <v>60448</v>
      </c>
      <c r="C257" s="213">
        <f t="shared" si="33"/>
        <v>1188</v>
      </c>
      <c r="D257" s="213">
        <v>961</v>
      </c>
      <c r="E257" s="213">
        <v>227</v>
      </c>
      <c r="F257" s="213">
        <f t="shared" si="35"/>
        <v>59260</v>
      </c>
      <c r="G257" s="134"/>
      <c r="H257" s="134"/>
      <c r="I257" s="134">
        <f>3855+55405</f>
        <v>59260</v>
      </c>
      <c r="J257" s="134"/>
      <c r="K257" s="134"/>
      <c r="L257" s="134"/>
      <c r="M257" s="134"/>
      <c r="N257" s="134"/>
      <c r="O257" s="134"/>
      <c r="P257" s="134"/>
    </row>
    <row r="258" spans="1:16" ht="45" customHeight="1">
      <c r="A258" s="133" t="s">
        <v>712</v>
      </c>
      <c r="B258" s="131">
        <f t="shared" si="37" ref="B258:B264">SUM(C258+F258,L258:P258)</f>
        <v>104447</v>
      </c>
      <c r="C258" s="213">
        <f t="shared" si="33"/>
        <v>48282</v>
      </c>
      <c r="D258" s="213">
        <f>44329-7388</f>
        <v>36941</v>
      </c>
      <c r="E258" s="213">
        <f>13084-1743</f>
        <v>11341</v>
      </c>
      <c r="F258" s="213">
        <f t="shared" si="35"/>
        <v>56165</v>
      </c>
      <c r="G258" s="134">
        <v>40</v>
      </c>
      <c r="H258" s="134">
        <f>48280+6255</f>
        <v>54535</v>
      </c>
      <c r="I258" s="134">
        <v>1590</v>
      </c>
      <c r="J258" s="134"/>
      <c r="K258" s="134"/>
      <c r="L258" s="134"/>
      <c r="M258" s="134"/>
      <c r="N258" s="134"/>
      <c r="O258" s="134"/>
      <c r="P258" s="134"/>
    </row>
    <row r="259" spans="1:16" ht="15" customHeight="1">
      <c r="A259" s="133" t="s">
        <v>171</v>
      </c>
      <c r="B259" s="131">
        <f t="shared" si="37"/>
        <v>449728</v>
      </c>
      <c r="C259" s="213">
        <f t="shared" si="38" ref="C259:C263">D259+E259</f>
        <v>354780</v>
      </c>
      <c r="D259" s="213">
        <f>95944+30680+48392+39720+75462-6546+3156</f>
        <v>286808</v>
      </c>
      <c r="E259" s="213">
        <f>22948+7237+11416+9370+17802-1545+744</f>
        <v>67972</v>
      </c>
      <c r="F259" s="213">
        <f t="shared" si="39" ref="F259:F264">SUM(G259:K259)</f>
        <v>91048</v>
      </c>
      <c r="G259" s="134"/>
      <c r="H259" s="134">
        <f>23526+3327+720</f>
        <v>27573</v>
      </c>
      <c r="I259" s="134">
        <f>61057+I260</f>
        <v>62917</v>
      </c>
      <c r="J259" s="134"/>
      <c r="K259" s="134">
        <v>558</v>
      </c>
      <c r="L259" s="134"/>
      <c r="M259" s="134"/>
      <c r="N259" s="134">
        <v>3900</v>
      </c>
      <c r="O259" s="134"/>
      <c r="P259" s="134"/>
    </row>
    <row r="260" spans="1:16" ht="15" customHeight="1">
      <c r="A260" s="216" t="s">
        <v>839</v>
      </c>
      <c r="B260" s="131">
        <f t="shared" si="37"/>
        <v>1860</v>
      </c>
      <c r="C260" s="213"/>
      <c r="D260" s="213"/>
      <c r="E260" s="213"/>
      <c r="F260" s="213">
        <f t="shared" si="39"/>
        <v>1860</v>
      </c>
      <c r="G260" s="134"/>
      <c r="H260" s="134"/>
      <c r="I260" s="134">
        <v>1860</v>
      </c>
      <c r="J260" s="134"/>
      <c r="K260" s="134"/>
      <c r="L260" s="134"/>
      <c r="M260" s="134"/>
      <c r="N260" s="134"/>
      <c r="O260" s="134"/>
      <c r="P260" s="134"/>
    </row>
    <row r="261" spans="1:16" ht="15.75" customHeight="1">
      <c r="A261" s="133" t="s">
        <v>163</v>
      </c>
      <c r="B261" s="131">
        <f t="shared" si="37"/>
        <v>671405</v>
      </c>
      <c r="C261" s="213">
        <f t="shared" si="38"/>
        <v>569420</v>
      </c>
      <c r="D261" s="213">
        <f>158345+59529+31491+138891+62186+5638-4612+8807+D262</f>
        <v>460396</v>
      </c>
      <c r="E261" s="213">
        <f>37770+14043+7429+32765+14670+1330-1088+2077+E262</f>
        <v>109024</v>
      </c>
      <c r="F261" s="213">
        <f t="shared" si="39"/>
        <v>99685</v>
      </c>
      <c r="G261" s="134"/>
      <c r="H261" s="134">
        <v>24232</v>
      </c>
      <c r="I261" s="134">
        <f>72918+I262</f>
        <v>75243</v>
      </c>
      <c r="J261" s="134"/>
      <c r="K261" s="134">
        <v>210</v>
      </c>
      <c r="L261" s="134"/>
      <c r="M261" s="134"/>
      <c r="N261" s="134">
        <v>2300</v>
      </c>
      <c r="O261" s="134"/>
      <c r="P261" s="134"/>
    </row>
    <row r="262" spans="1:16" ht="15.75" customHeight="1">
      <c r="A262" s="250" t="s">
        <v>839</v>
      </c>
      <c r="B262" s="131">
        <f t="shared" si="37"/>
        <v>2474</v>
      </c>
      <c r="C262" s="213">
        <f t="shared" si="38"/>
        <v>149</v>
      </c>
      <c r="D262" s="213">
        <v>121</v>
      </c>
      <c r="E262" s="213">
        <v>28</v>
      </c>
      <c r="F262" s="213">
        <f t="shared" si="39"/>
        <v>2325</v>
      </c>
      <c r="G262" s="134"/>
      <c r="H262" s="134"/>
      <c r="I262" s="134">
        <v>2325</v>
      </c>
      <c r="J262" s="134"/>
      <c r="K262" s="134"/>
      <c r="L262" s="134"/>
      <c r="M262" s="134"/>
      <c r="N262" s="134"/>
      <c r="O262" s="134"/>
      <c r="P262" s="134"/>
    </row>
    <row r="263" spans="1:16" ht="15" customHeight="1">
      <c r="A263" s="136" t="s">
        <v>176</v>
      </c>
      <c r="B263" s="131">
        <f t="shared" si="37"/>
        <v>805419</v>
      </c>
      <c r="C263" s="225">
        <f t="shared" si="38"/>
        <v>656724</v>
      </c>
      <c r="D263" s="225">
        <f>207321+17050+67501+7399+196165+38741-6684+3156</f>
        <v>530649</v>
      </c>
      <c r="E263" s="225">
        <f>49804+4022+15923+1745+46275+9139-1577+744</f>
        <v>126075</v>
      </c>
      <c r="F263" s="213">
        <f t="shared" si="39"/>
        <v>134994</v>
      </c>
      <c r="G263" s="160">
        <v>160</v>
      </c>
      <c r="H263" s="160">
        <v>37273</v>
      </c>
      <c r="I263" s="160">
        <f>88882-811+I264</f>
        <v>97511</v>
      </c>
      <c r="J263" s="160">
        <v>50</v>
      </c>
      <c r="K263" s="160"/>
      <c r="L263" s="160"/>
      <c r="M263" s="160"/>
      <c r="N263" s="160">
        <f>4000+811+N264</f>
        <v>13701</v>
      </c>
      <c r="O263" s="160"/>
      <c r="P263" s="160"/>
    </row>
    <row r="264" spans="1:16" ht="15" customHeight="1">
      <c r="A264" s="241" t="s">
        <v>839</v>
      </c>
      <c r="B264" s="131">
        <f t="shared" si="37"/>
        <v>18330</v>
      </c>
      <c r="C264" s="225"/>
      <c r="D264" s="225"/>
      <c r="E264" s="225"/>
      <c r="F264" s="213">
        <f t="shared" si="39"/>
        <v>9440</v>
      </c>
      <c r="G264" s="160"/>
      <c r="H264" s="160"/>
      <c r="I264" s="160">
        <f>2655+6785</f>
        <v>9440</v>
      </c>
      <c r="J264" s="160"/>
      <c r="K264" s="160"/>
      <c r="L264" s="160"/>
      <c r="M264" s="160"/>
      <c r="N264" s="160">
        <v>8890</v>
      </c>
      <c r="O264" s="160"/>
      <c r="P264" s="160"/>
    </row>
    <row r="265" spans="1:16" ht="15" customHeight="1">
      <c r="A265" s="133" t="s">
        <v>49</v>
      </c>
      <c r="B265" s="131">
        <f>SUM(C265+F265,L265:P265)</f>
        <v>518253</v>
      </c>
      <c r="C265" s="213">
        <f t="shared" si="33"/>
        <v>486910</v>
      </c>
      <c r="D265" s="213">
        <v>394927</v>
      </c>
      <c r="E265" s="213">
        <v>91983</v>
      </c>
      <c r="F265" s="213">
        <f t="shared" si="35"/>
        <v>29503</v>
      </c>
      <c r="G265" s="134">
        <v>1520</v>
      </c>
      <c r="H265" s="134">
        <f>19736+H266</f>
        <v>20236</v>
      </c>
      <c r="I265" s="134">
        <f>8079+I266</f>
        <v>7579</v>
      </c>
      <c r="J265" s="134"/>
      <c r="K265" s="134">
        <v>168</v>
      </c>
      <c r="L265" s="134"/>
      <c r="M265" s="134"/>
      <c r="N265" s="134">
        <v>1840</v>
      </c>
      <c r="O265" s="134"/>
      <c r="P265" s="134">
        <v>0</v>
      </c>
    </row>
    <row r="266" spans="1:16" ht="15" customHeight="1">
      <c r="A266" s="216" t="s">
        <v>839</v>
      </c>
      <c r="B266" s="131">
        <f>SUM(C266+F266,L266:P266)</f>
        <v>0</v>
      </c>
      <c r="C266" s="213"/>
      <c r="D266" s="213"/>
      <c r="E266" s="213"/>
      <c r="F266" s="213">
        <f t="shared" si="35"/>
        <v>0</v>
      </c>
      <c r="G266" s="134"/>
      <c r="H266" s="134">
        <v>500</v>
      </c>
      <c r="I266" s="134">
        <v>-500</v>
      </c>
      <c r="J266" s="134"/>
      <c r="K266" s="134"/>
      <c r="L266" s="134"/>
      <c r="M266" s="134"/>
      <c r="N266" s="134"/>
      <c r="O266" s="134"/>
      <c r="P266" s="134"/>
    </row>
    <row r="267" spans="1:16" ht="15" customHeight="1">
      <c r="A267" s="133" t="s">
        <v>50</v>
      </c>
      <c r="B267" s="131">
        <f t="shared" si="40" ref="B267:B292">SUM(C267+F267,L267:P267)</f>
        <v>197746</v>
      </c>
      <c r="C267" s="213">
        <f t="shared" si="33"/>
        <v>171685</v>
      </c>
      <c r="D267" s="213">
        <v>137865</v>
      </c>
      <c r="E267" s="213">
        <v>33820</v>
      </c>
      <c r="F267" s="213">
        <f>SUM(G267:K267)</f>
        <v>24861</v>
      </c>
      <c r="G267" s="213">
        <v>106</v>
      </c>
      <c r="H267" s="134">
        <f>13537+500+H268</f>
        <v>12737</v>
      </c>
      <c r="I267" s="134">
        <f>11218+(-500)+I268</f>
        <v>12018</v>
      </c>
      <c r="J267" s="134"/>
      <c r="K267" s="134"/>
      <c r="L267" s="134"/>
      <c r="M267" s="134"/>
      <c r="N267" s="134">
        <v>1200</v>
      </c>
      <c r="O267" s="134"/>
      <c r="P267" s="134"/>
    </row>
    <row r="268" spans="1:16" ht="15" customHeight="1">
      <c r="A268" s="216" t="s">
        <v>839</v>
      </c>
      <c r="B268" s="131">
        <f t="shared" si="40"/>
        <v>0</v>
      </c>
      <c r="C268" s="213"/>
      <c r="D268" s="213"/>
      <c r="E268" s="213"/>
      <c r="F268" s="213">
        <f t="shared" si="35"/>
        <v>0</v>
      </c>
      <c r="G268" s="134"/>
      <c r="H268" s="134">
        <v>-1300</v>
      </c>
      <c r="I268" s="134">
        <v>1300</v>
      </c>
      <c r="J268" s="134"/>
      <c r="K268" s="134"/>
      <c r="L268" s="134"/>
      <c r="M268" s="134"/>
      <c r="N268" s="134"/>
      <c r="O268" s="134"/>
      <c r="P268" s="134"/>
    </row>
    <row r="269" spans="1:16" ht="15" customHeight="1">
      <c r="A269" s="138" t="s">
        <v>170</v>
      </c>
      <c r="B269" s="131">
        <f t="shared" si="40"/>
        <v>172520</v>
      </c>
      <c r="C269" s="213">
        <f t="shared" si="33"/>
        <v>155037</v>
      </c>
      <c r="D269" s="213">
        <v>125197</v>
      </c>
      <c r="E269" s="213">
        <v>29840</v>
      </c>
      <c r="F269" s="213">
        <f t="shared" si="35"/>
        <v>15893</v>
      </c>
      <c r="G269" s="134">
        <v>120</v>
      </c>
      <c r="H269" s="134">
        <v>8485</v>
      </c>
      <c r="I269" s="134">
        <v>7215</v>
      </c>
      <c r="J269" s="134">
        <v>73</v>
      </c>
      <c r="K269" s="134"/>
      <c r="L269" s="134"/>
      <c r="M269" s="134"/>
      <c r="N269" s="134">
        <v>1590</v>
      </c>
      <c r="O269" s="134"/>
      <c r="P269" s="127"/>
    </row>
    <row r="270" spans="1:16" ht="15" customHeight="1">
      <c r="A270" s="135" t="s">
        <v>162</v>
      </c>
      <c r="B270" s="131">
        <f t="shared" si="40"/>
        <v>149994</v>
      </c>
      <c r="C270" s="214">
        <f t="shared" si="33"/>
        <v>143639</v>
      </c>
      <c r="D270" s="213">
        <v>116075</v>
      </c>
      <c r="E270" s="213">
        <v>27564</v>
      </c>
      <c r="F270" s="213">
        <f t="shared" si="35"/>
        <v>5555</v>
      </c>
      <c r="G270" s="134">
        <v>130</v>
      </c>
      <c r="H270" s="134">
        <v>2040</v>
      </c>
      <c r="I270" s="134">
        <v>3385</v>
      </c>
      <c r="J270" s="134"/>
      <c r="K270" s="134"/>
      <c r="L270" s="134"/>
      <c r="M270" s="134"/>
      <c r="N270" s="134">
        <v>800</v>
      </c>
      <c r="O270" s="134"/>
      <c r="P270" s="134">
        <v>0</v>
      </c>
    </row>
    <row r="271" spans="1:16" ht="15" customHeight="1">
      <c r="A271" s="135" t="s">
        <v>51</v>
      </c>
      <c r="B271" s="131">
        <f t="shared" si="40"/>
        <v>650011</v>
      </c>
      <c r="C271" s="214">
        <f t="shared" si="33"/>
        <v>561277</v>
      </c>
      <c r="D271" s="213">
        <f>461518+(-14988)</f>
        <v>446530</v>
      </c>
      <c r="E271" s="213">
        <v>114747</v>
      </c>
      <c r="F271" s="213">
        <f t="shared" si="35"/>
        <v>73746</v>
      </c>
      <c r="G271" s="134">
        <v>13000</v>
      </c>
      <c r="H271" s="134">
        <v>24966</v>
      </c>
      <c r="I271" s="134">
        <v>35180</v>
      </c>
      <c r="J271" s="134"/>
      <c r="K271" s="134">
        <v>600</v>
      </c>
      <c r="L271" s="134"/>
      <c r="M271" s="134"/>
      <c r="N271" s="134">
        <v>14988</v>
      </c>
      <c r="O271" s="134"/>
      <c r="P271" s="134"/>
    </row>
    <row r="272" spans="1:16" ht="15" customHeight="1">
      <c r="A272" s="135" t="s">
        <v>58</v>
      </c>
      <c r="B272" s="131">
        <f t="shared" si="40"/>
        <v>224247</v>
      </c>
      <c r="C272" s="213">
        <f t="shared" si="33"/>
        <v>90094</v>
      </c>
      <c r="D272" s="213">
        <v>70175</v>
      </c>
      <c r="E272" s="213">
        <v>19919</v>
      </c>
      <c r="F272" s="213">
        <f t="shared" si="41" ref="F272:F290">SUM(G272:K272)</f>
        <v>134153</v>
      </c>
      <c r="G272" s="134"/>
      <c r="H272" s="134">
        <v>122405</v>
      </c>
      <c r="I272" s="134">
        <v>11748</v>
      </c>
      <c r="J272" s="134"/>
      <c r="K272" s="134"/>
      <c r="L272" s="134"/>
      <c r="M272" s="134"/>
      <c r="N272" s="134"/>
      <c r="O272" s="134"/>
      <c r="P272" s="134"/>
    </row>
    <row r="273" spans="1:16" ht="30" customHeight="1">
      <c r="A273" s="135" t="s">
        <v>239</v>
      </c>
      <c r="B273" s="131">
        <f t="shared" si="40"/>
        <v>267496</v>
      </c>
      <c r="C273" s="213">
        <f t="shared" si="33"/>
        <v>223565</v>
      </c>
      <c r="D273" s="213">
        <f>130124+21778+28979</f>
        <v>180881</v>
      </c>
      <c r="E273" s="213">
        <f>30710+5138+6836</f>
        <v>42684</v>
      </c>
      <c r="F273" s="213">
        <f t="shared" si="41"/>
        <v>43931</v>
      </c>
      <c r="G273" s="134">
        <v>300</v>
      </c>
      <c r="H273" s="134">
        <v>27551</v>
      </c>
      <c r="I273" s="134">
        <v>16080</v>
      </c>
      <c r="J273" s="134"/>
      <c r="K273" s="134"/>
      <c r="L273" s="134"/>
      <c r="M273" s="134"/>
      <c r="N273" s="134"/>
      <c r="O273" s="134"/>
      <c r="P273" s="134"/>
    </row>
    <row r="274" spans="1:16" ht="15" customHeight="1">
      <c r="A274" s="135" t="s">
        <v>169</v>
      </c>
      <c r="B274" s="131">
        <f t="shared" si="40"/>
        <v>245793</v>
      </c>
      <c r="C274" s="213">
        <f t="shared" si="33"/>
        <v>236740</v>
      </c>
      <c r="D274" s="213">
        <v>192440</v>
      </c>
      <c r="E274" s="213">
        <v>44300</v>
      </c>
      <c r="F274" s="213">
        <f t="shared" si="41"/>
        <v>9053</v>
      </c>
      <c r="G274" s="134">
        <v>440</v>
      </c>
      <c r="H274" s="134">
        <v>3533</v>
      </c>
      <c r="I274" s="134">
        <v>4930</v>
      </c>
      <c r="J274" s="134"/>
      <c r="K274" s="134">
        <v>150</v>
      </c>
      <c r="L274" s="134"/>
      <c r="M274" s="134"/>
      <c r="N274" s="134">
        <v>0</v>
      </c>
      <c r="O274" s="134"/>
      <c r="P274" s="134">
        <v>0</v>
      </c>
    </row>
    <row r="275" spans="1:16" ht="15" customHeight="1">
      <c r="A275" s="135" t="s">
        <v>178</v>
      </c>
      <c r="B275" s="131">
        <f t="shared" si="40"/>
        <v>56980</v>
      </c>
      <c r="C275" s="213">
        <f t="shared" si="33"/>
        <v>8560</v>
      </c>
      <c r="D275" s="213">
        <v>8560</v>
      </c>
      <c r="E275" s="234"/>
      <c r="F275" s="213">
        <f t="shared" si="41"/>
        <v>39420</v>
      </c>
      <c r="G275" s="134">
        <v>1120</v>
      </c>
      <c r="H275" s="134">
        <v>4030</v>
      </c>
      <c r="I275" s="134">
        <v>34270</v>
      </c>
      <c r="J275" s="134"/>
      <c r="K275" s="134"/>
      <c r="L275" s="134"/>
      <c r="M275" s="134"/>
      <c r="N275" s="134"/>
      <c r="O275" s="134">
        <v>9000</v>
      </c>
      <c r="P275" s="134"/>
    </row>
    <row r="276" spans="1:16" ht="22.5" customHeight="1">
      <c r="A276" s="135" t="s">
        <v>67</v>
      </c>
      <c r="B276" s="131">
        <f>SUM(C276+F276,L276:P276)</f>
        <v>48689</v>
      </c>
      <c r="C276" s="213"/>
      <c r="D276" s="213"/>
      <c r="E276" s="213"/>
      <c r="F276" s="213">
        <f>SUM(G276:K276)</f>
        <v>48689</v>
      </c>
      <c r="G276" s="134"/>
      <c r="H276" s="134">
        <f>12789+35900</f>
        <v>48689</v>
      </c>
      <c r="I276" s="134"/>
      <c r="J276" s="134"/>
      <c r="K276" s="134"/>
      <c r="L276" s="134"/>
      <c r="M276" s="134"/>
      <c r="N276" s="134"/>
      <c r="O276" s="134"/>
      <c r="P276" s="134"/>
    </row>
    <row r="277" spans="1:16" ht="30" customHeight="1">
      <c r="A277" s="130" t="s">
        <v>211</v>
      </c>
      <c r="B277" s="131">
        <f t="shared" si="40"/>
        <v>19080</v>
      </c>
      <c r="C277" s="213">
        <f t="shared" si="42" ref="C277:C283">D277+E277</f>
        <v>7617</v>
      </c>
      <c r="D277" s="213">
        <v>6163</v>
      </c>
      <c r="E277" s="213">
        <v>1454</v>
      </c>
      <c r="F277" s="213">
        <f t="shared" si="41"/>
        <v>11463</v>
      </c>
      <c r="G277" s="134"/>
      <c r="H277" s="134">
        <v>5537</v>
      </c>
      <c r="I277" s="134">
        <v>5670</v>
      </c>
      <c r="J277" s="134"/>
      <c r="K277" s="134">
        <v>256</v>
      </c>
      <c r="L277" s="134"/>
      <c r="M277" s="134"/>
      <c r="N277" s="134"/>
      <c r="O277" s="134"/>
      <c r="P277" s="127"/>
    </row>
    <row r="278" spans="1:16" ht="30" customHeight="1">
      <c r="A278" s="135" t="s">
        <v>196</v>
      </c>
      <c r="B278" s="131">
        <f t="shared" si="40"/>
        <v>20934</v>
      </c>
      <c r="C278" s="213">
        <f>D278+E278</f>
        <v>14313</v>
      </c>
      <c r="D278" s="213">
        <v>11604</v>
      </c>
      <c r="E278" s="213">
        <v>2709</v>
      </c>
      <c r="F278" s="213">
        <f t="shared" si="41"/>
        <v>6621</v>
      </c>
      <c r="G278" s="134">
        <v>24</v>
      </c>
      <c r="H278" s="134">
        <v>3619</v>
      </c>
      <c r="I278" s="134">
        <v>2858</v>
      </c>
      <c r="J278" s="134"/>
      <c r="K278" s="134">
        <v>120</v>
      </c>
      <c r="L278" s="134"/>
      <c r="M278" s="134"/>
      <c r="N278" s="134"/>
      <c r="O278" s="134"/>
      <c r="P278" s="134"/>
    </row>
    <row r="279" spans="1:16" ht="30" customHeight="1">
      <c r="A279" s="133" t="s">
        <v>197</v>
      </c>
      <c r="B279" s="131">
        <f>SUM(C279+F279,L279:P279)</f>
        <v>27677</v>
      </c>
      <c r="C279" s="213">
        <f t="shared" si="42"/>
        <v>14717</v>
      </c>
      <c r="D279" s="213">
        <f>11808+100</f>
        <v>11908</v>
      </c>
      <c r="E279" s="213">
        <v>2809</v>
      </c>
      <c r="F279" s="213">
        <f>SUM(G279:K279)</f>
        <v>12960</v>
      </c>
      <c r="G279" s="134">
        <v>80</v>
      </c>
      <c r="H279" s="134">
        <f>3660+(-4322)+H280</f>
        <v>9360</v>
      </c>
      <c r="I279" s="134">
        <f>4500+I280</f>
        <v>3400</v>
      </c>
      <c r="J279" s="134"/>
      <c r="K279" s="134">
        <v>120</v>
      </c>
      <c r="L279" s="134"/>
      <c r="M279" s="134"/>
      <c r="N279" s="134">
        <f>4322+N280</f>
        <v>0</v>
      </c>
      <c r="O279" s="134"/>
      <c r="P279" s="134"/>
    </row>
    <row r="280" spans="1:16" ht="21" customHeight="1">
      <c r="A280" s="216" t="s">
        <v>839</v>
      </c>
      <c r="B280" s="131">
        <f>SUM(C280+F280,L280:P280)</f>
        <v>4600</v>
      </c>
      <c r="C280" s="213"/>
      <c r="D280" s="213"/>
      <c r="E280" s="213"/>
      <c r="F280" s="213">
        <f>SUM(G280:K280)</f>
        <v>8922</v>
      </c>
      <c r="G280" s="134"/>
      <c r="H280" s="134">
        <f>4322+1100+4600</f>
        <v>10022</v>
      </c>
      <c r="I280" s="134">
        <v>-1100</v>
      </c>
      <c r="J280" s="134"/>
      <c r="K280" s="134"/>
      <c r="L280" s="134"/>
      <c r="M280" s="134"/>
      <c r="N280" s="134">
        <v>-4322</v>
      </c>
      <c r="O280" s="134"/>
      <c r="P280" s="134"/>
    </row>
    <row r="281" spans="1:16" ht="30" customHeight="1">
      <c r="A281" s="133" t="s">
        <v>193</v>
      </c>
      <c r="B281" s="131">
        <f t="shared" si="40"/>
        <v>27334</v>
      </c>
      <c r="C281" s="213">
        <f t="shared" si="42"/>
        <v>12795</v>
      </c>
      <c r="D281" s="213">
        <v>10272</v>
      </c>
      <c r="E281" s="213">
        <f>2423+100</f>
        <v>2523</v>
      </c>
      <c r="F281" s="213">
        <f t="shared" si="41"/>
        <v>14539</v>
      </c>
      <c r="G281" s="134"/>
      <c r="H281" s="134">
        <v>5306</v>
      </c>
      <c r="I281" s="134">
        <v>9130</v>
      </c>
      <c r="J281" s="134"/>
      <c r="K281" s="134">
        <v>103</v>
      </c>
      <c r="L281" s="134"/>
      <c r="M281" s="134"/>
      <c r="N281" s="134"/>
      <c r="O281" s="134"/>
      <c r="P281" s="134"/>
    </row>
    <row r="282" spans="1:16" ht="30" customHeight="1">
      <c r="A282" s="133" t="s">
        <v>214</v>
      </c>
      <c r="B282" s="131">
        <f t="shared" si="40"/>
        <v>24564</v>
      </c>
      <c r="C282" s="213">
        <f t="shared" si="42"/>
        <v>13036</v>
      </c>
      <c r="D282" s="213">
        <v>10548</v>
      </c>
      <c r="E282" s="213">
        <v>2488</v>
      </c>
      <c r="F282" s="213">
        <f t="shared" si="41"/>
        <v>11528</v>
      </c>
      <c r="G282" s="134">
        <v>120</v>
      </c>
      <c r="H282" s="134">
        <v>2748</v>
      </c>
      <c r="I282" s="134">
        <v>8540</v>
      </c>
      <c r="J282" s="134"/>
      <c r="K282" s="134">
        <v>120</v>
      </c>
      <c r="L282" s="134"/>
      <c r="M282" s="134"/>
      <c r="N282" s="134"/>
      <c r="O282" s="134"/>
      <c r="P282" s="134"/>
    </row>
    <row r="283" spans="1:16" ht="30" customHeight="1">
      <c r="A283" s="133" t="s">
        <v>195</v>
      </c>
      <c r="B283" s="131">
        <f t="shared" si="40"/>
        <v>21750</v>
      </c>
      <c r="C283" s="213">
        <f t="shared" si="42"/>
        <v>12117</v>
      </c>
      <c r="D283" s="213">
        <v>9804</v>
      </c>
      <c r="E283" s="213">
        <v>2313</v>
      </c>
      <c r="F283" s="213">
        <f t="shared" si="41"/>
        <v>9633</v>
      </c>
      <c r="G283" s="134">
        <v>180</v>
      </c>
      <c r="H283" s="134">
        <v>5083</v>
      </c>
      <c r="I283" s="134">
        <v>4250</v>
      </c>
      <c r="J283" s="134"/>
      <c r="K283" s="134">
        <v>120</v>
      </c>
      <c r="L283" s="134"/>
      <c r="M283" s="134"/>
      <c r="N283" s="134"/>
      <c r="O283" s="134"/>
      <c r="P283" s="134"/>
    </row>
    <row r="284" spans="1:16" ht="30" customHeight="1">
      <c r="A284" s="136" t="s">
        <v>203</v>
      </c>
      <c r="B284" s="255">
        <f>SUM(C284+F284,L284:P284)</f>
        <v>98130</v>
      </c>
      <c r="C284" s="235">
        <f>D284+E284</f>
        <v>40585</v>
      </c>
      <c r="D284" s="226">
        <f>31098+515</f>
        <v>31613</v>
      </c>
      <c r="E284" s="227">
        <v>8972</v>
      </c>
      <c r="F284" s="229">
        <f t="shared" si="41"/>
        <v>57545</v>
      </c>
      <c r="G284" s="162">
        <f>240+(-180)</f>
        <v>60</v>
      </c>
      <c r="H284" s="162">
        <f>12160+1165+H285</f>
        <v>16825</v>
      </c>
      <c r="I284" s="162">
        <f>41700+(-1500)</f>
        <v>40200</v>
      </c>
      <c r="J284" s="162"/>
      <c r="K284" s="162">
        <v>460</v>
      </c>
      <c r="L284" s="162"/>
      <c r="M284" s="162"/>
      <c r="N284" s="162"/>
      <c r="O284" s="162"/>
      <c r="P284" s="162"/>
    </row>
    <row r="285" spans="1:16" ht="30" customHeight="1">
      <c r="A285" s="241" t="s">
        <v>839</v>
      </c>
      <c r="B285" s="255">
        <f>SUM(C285+F285,L285:P285)</f>
        <v>3500</v>
      </c>
      <c r="C285" s="225"/>
      <c r="D285" s="226"/>
      <c r="E285" s="227"/>
      <c r="F285" s="229">
        <f t="shared" si="41"/>
        <v>3500</v>
      </c>
      <c r="G285" s="160"/>
      <c r="H285" s="160">
        <v>3500</v>
      </c>
      <c r="I285" s="160"/>
      <c r="J285" s="160"/>
      <c r="K285" s="160"/>
      <c r="L285" s="160"/>
      <c r="M285" s="160"/>
      <c r="N285" s="160"/>
      <c r="O285" s="160"/>
      <c r="P285" s="160"/>
    </row>
    <row r="286" spans="1:16" ht="30" customHeight="1">
      <c r="A286" s="133" t="s">
        <v>740</v>
      </c>
      <c r="B286" s="131">
        <f t="shared" si="40"/>
        <v>23705</v>
      </c>
      <c r="C286" s="213">
        <f t="shared" si="43" ref="C286:C292">D286+E286</f>
        <v>19555</v>
      </c>
      <c r="D286" s="213">
        <v>15822</v>
      </c>
      <c r="E286" s="213">
        <v>3733</v>
      </c>
      <c r="F286" s="213">
        <f t="shared" si="41"/>
        <v>4150</v>
      </c>
      <c r="G286" s="134">
        <v>32</v>
      </c>
      <c r="H286" s="134">
        <v>1953</v>
      </c>
      <c r="I286" s="134">
        <v>1995</v>
      </c>
      <c r="J286" s="134"/>
      <c r="K286" s="134">
        <v>170</v>
      </c>
      <c r="L286" s="134"/>
      <c r="M286" s="134"/>
      <c r="N286" s="134"/>
      <c r="O286" s="134"/>
      <c r="P286" s="134"/>
    </row>
    <row r="287" spans="1:16" ht="30" customHeight="1">
      <c r="A287" s="133" t="s">
        <v>161</v>
      </c>
      <c r="B287" s="131">
        <f>SUM(C287+F287,L287:P287)</f>
        <v>37432</v>
      </c>
      <c r="C287" s="213">
        <f t="shared" si="43"/>
        <v>12117</v>
      </c>
      <c r="D287" s="213">
        <v>9804</v>
      </c>
      <c r="E287" s="213">
        <v>2313</v>
      </c>
      <c r="F287" s="213">
        <f>SUM(G287:K287)</f>
        <v>25315</v>
      </c>
      <c r="G287" s="134">
        <v>40</v>
      </c>
      <c r="H287" s="134">
        <f>6099+H288</f>
        <v>14887</v>
      </c>
      <c r="I287" s="134">
        <v>10232</v>
      </c>
      <c r="J287" s="134"/>
      <c r="K287" s="134">
        <v>156</v>
      </c>
      <c r="L287" s="134"/>
      <c r="M287" s="134"/>
      <c r="N287" s="134"/>
      <c r="O287" s="134"/>
      <c r="P287" s="134"/>
    </row>
    <row r="288" spans="1:16" ht="30" customHeight="1">
      <c r="A288" s="216" t="s">
        <v>839</v>
      </c>
      <c r="B288" s="254">
        <f t="shared" si="40"/>
        <v>8788</v>
      </c>
      <c r="C288" s="213"/>
      <c r="D288" s="213"/>
      <c r="E288" s="213"/>
      <c r="F288" s="213">
        <f t="shared" si="41"/>
        <v>8788</v>
      </c>
      <c r="G288" s="134"/>
      <c r="H288" s="134">
        <v>8788</v>
      </c>
      <c r="I288" s="134"/>
      <c r="J288" s="134"/>
      <c r="K288" s="134"/>
      <c r="L288" s="134"/>
      <c r="M288" s="134"/>
      <c r="N288" s="134"/>
      <c r="O288" s="134"/>
      <c r="P288" s="134"/>
    </row>
    <row r="289" spans="1:16" ht="20.25" customHeight="1">
      <c r="A289" s="133" t="s">
        <v>216</v>
      </c>
      <c r="B289" s="131">
        <f t="shared" si="40"/>
        <v>35852</v>
      </c>
      <c r="C289" s="213">
        <f t="shared" si="43"/>
        <v>23084</v>
      </c>
      <c r="D289" s="213">
        <f>18648+30</f>
        <v>18678</v>
      </c>
      <c r="E289" s="213">
        <v>4406</v>
      </c>
      <c r="F289" s="213">
        <f t="shared" si="41"/>
        <v>12696</v>
      </c>
      <c r="G289" s="134"/>
      <c r="H289" s="134">
        <v>6301</v>
      </c>
      <c r="I289" s="134">
        <v>5995</v>
      </c>
      <c r="J289" s="134"/>
      <c r="K289" s="134">
        <v>400</v>
      </c>
      <c r="L289" s="134"/>
      <c r="M289" s="134"/>
      <c r="N289" s="134">
        <v>72</v>
      </c>
      <c r="O289" s="134"/>
      <c r="P289" s="134"/>
    </row>
    <row r="290" spans="1:16" ht="30" customHeight="1">
      <c r="A290" s="133" t="s">
        <v>210</v>
      </c>
      <c r="B290" s="131">
        <f t="shared" si="40"/>
        <v>21643</v>
      </c>
      <c r="C290" s="213">
        <f t="shared" si="43"/>
        <v>12695</v>
      </c>
      <c r="D290" s="213">
        <v>10272</v>
      </c>
      <c r="E290" s="213">
        <v>2423</v>
      </c>
      <c r="F290" s="213">
        <f t="shared" si="41"/>
        <v>8948</v>
      </c>
      <c r="G290" s="134">
        <v>60</v>
      </c>
      <c r="H290" s="134">
        <v>3288</v>
      </c>
      <c r="I290" s="134">
        <v>5196</v>
      </c>
      <c r="J290" s="134"/>
      <c r="K290" s="134">
        <v>404</v>
      </c>
      <c r="L290" s="134"/>
      <c r="M290" s="134"/>
      <c r="N290" s="134"/>
      <c r="O290" s="134"/>
      <c r="P290" s="134"/>
    </row>
    <row r="291" spans="1:16" ht="19.5" customHeight="1">
      <c r="A291" s="133" t="s">
        <v>212</v>
      </c>
      <c r="B291" s="131">
        <f t="shared" si="40"/>
        <v>24953.98</v>
      </c>
      <c r="C291" s="213">
        <f t="shared" si="43"/>
        <v>13485.98</v>
      </c>
      <c r="D291" s="213">
        <f>10272+640</f>
        <v>10912</v>
      </c>
      <c r="E291" s="213">
        <f>2423+150.98</f>
        <v>2573.98</v>
      </c>
      <c r="F291" s="213">
        <f>SUM(G291:K291)</f>
        <v>11468</v>
      </c>
      <c r="G291" s="134"/>
      <c r="H291" s="134">
        <f>6036+902</f>
        <v>6938</v>
      </c>
      <c r="I291" s="134">
        <f>3750+558</f>
        <v>4308</v>
      </c>
      <c r="J291" s="134"/>
      <c r="K291" s="134">
        <v>222</v>
      </c>
      <c r="L291" s="134"/>
      <c r="M291" s="134"/>
      <c r="N291" s="134"/>
      <c r="O291" s="134"/>
      <c r="P291" s="134"/>
    </row>
    <row r="292" spans="1:16" ht="30" customHeight="1">
      <c r="A292" s="133" t="s">
        <v>202</v>
      </c>
      <c r="B292" s="131">
        <f t="shared" si="40"/>
        <v>28778</v>
      </c>
      <c r="C292" s="213">
        <f t="shared" si="43"/>
        <v>13160</v>
      </c>
      <c r="D292" s="213">
        <f>10548+100</f>
        <v>10648</v>
      </c>
      <c r="E292" s="213">
        <v>2512</v>
      </c>
      <c r="F292" s="213">
        <f t="shared" si="44" ref="F292:F320">SUM(G292:K292)</f>
        <v>15618</v>
      </c>
      <c r="G292" s="134">
        <v>104</v>
      </c>
      <c r="H292" s="134">
        <v>2540</v>
      </c>
      <c r="I292" s="134">
        <v>12774</v>
      </c>
      <c r="J292" s="134"/>
      <c r="K292" s="134">
        <v>200</v>
      </c>
      <c r="L292" s="134"/>
      <c r="M292" s="134"/>
      <c r="N292" s="134"/>
      <c r="O292" s="134"/>
      <c r="P292" s="134"/>
    </row>
    <row r="293" spans="1:16" ht="30" customHeight="1">
      <c r="A293" s="133" t="s">
        <v>52</v>
      </c>
      <c r="B293" s="131">
        <f>SUM(C293:F293,L293:P293)</f>
        <v>8000</v>
      </c>
      <c r="C293" s="213"/>
      <c r="D293" s="213"/>
      <c r="E293" s="213"/>
      <c r="F293" s="213">
        <f t="shared" si="44"/>
        <v>0</v>
      </c>
      <c r="G293" s="134"/>
      <c r="H293" s="134"/>
      <c r="I293" s="134"/>
      <c r="J293" s="134"/>
      <c r="K293" s="134"/>
      <c r="L293" s="134"/>
      <c r="M293" s="134"/>
      <c r="N293" s="134"/>
      <c r="O293" s="134">
        <v>8000</v>
      </c>
      <c r="P293" s="134"/>
    </row>
    <row r="294" spans="1:16" ht="30" customHeight="1">
      <c r="A294" s="132" t="s">
        <v>81</v>
      </c>
      <c r="B294" s="131">
        <f>SUM(C294+F294,L294:P294)</f>
        <v>140000</v>
      </c>
      <c r="C294" s="213"/>
      <c r="D294" s="213"/>
      <c r="E294" s="213"/>
      <c r="F294" s="213">
        <f t="shared" si="44"/>
        <v>0</v>
      </c>
      <c r="G294" s="134"/>
      <c r="H294" s="134"/>
      <c r="I294" s="134"/>
      <c r="J294" s="134"/>
      <c r="K294" s="134"/>
      <c r="L294" s="134"/>
      <c r="M294" s="134"/>
      <c r="N294" s="134"/>
      <c r="O294" s="134"/>
      <c r="P294" s="134">
        <v>140000</v>
      </c>
    </row>
    <row r="295" spans="1:16" ht="35.25" customHeight="1">
      <c r="A295" s="132" t="s">
        <v>64</v>
      </c>
      <c r="B295" s="131">
        <f>SUM(C295+F295,L295:P295)</f>
        <v>3561</v>
      </c>
      <c r="C295" s="213">
        <f>D295+E295</f>
        <v>371</v>
      </c>
      <c r="D295" s="213">
        <v>300</v>
      </c>
      <c r="E295" s="213">
        <v>71</v>
      </c>
      <c r="F295" s="213">
        <f t="shared" si="44"/>
        <v>3190</v>
      </c>
      <c r="G295" s="134"/>
      <c r="H295" s="134"/>
      <c r="I295" s="134">
        <v>3190</v>
      </c>
      <c r="J295" s="134"/>
      <c r="K295" s="134"/>
      <c r="L295" s="134"/>
      <c r="M295" s="134"/>
      <c r="N295" s="134">
        <v>0</v>
      </c>
      <c r="O295" s="134"/>
      <c r="P295" s="134"/>
    </row>
    <row r="296" spans="1:16" ht="30" customHeight="1">
      <c r="A296" s="132" t="s">
        <v>229</v>
      </c>
      <c r="B296" s="131">
        <f>SUM(C296+F296,L296:P296)</f>
        <v>26568</v>
      </c>
      <c r="C296" s="213">
        <f>D296+E296</f>
        <v>22246</v>
      </c>
      <c r="D296" s="213">
        <v>18000</v>
      </c>
      <c r="E296" s="213">
        <v>4246</v>
      </c>
      <c r="F296" s="213">
        <f t="shared" si="44"/>
        <v>4322</v>
      </c>
      <c r="G296" s="134"/>
      <c r="H296" s="134"/>
      <c r="I296" s="134">
        <v>4322</v>
      </c>
      <c r="J296" s="134"/>
      <c r="K296" s="134"/>
      <c r="L296" s="134">
        <v>0</v>
      </c>
      <c r="M296" s="134"/>
      <c r="N296" s="134"/>
      <c r="O296" s="134"/>
      <c r="P296" s="134"/>
    </row>
    <row r="297" spans="1:16" ht="30" customHeight="1">
      <c r="A297" s="133" t="s">
        <v>165</v>
      </c>
      <c r="B297" s="131">
        <f>SUM(C297+F297,L297:P297)</f>
        <v>58588</v>
      </c>
      <c r="C297" s="213">
        <f>D297+E297</f>
        <v>43280</v>
      </c>
      <c r="D297" s="213">
        <v>35000</v>
      </c>
      <c r="E297" s="213">
        <v>8280</v>
      </c>
      <c r="F297" s="213">
        <f t="shared" si="44"/>
        <v>12308</v>
      </c>
      <c r="G297" s="134"/>
      <c r="H297" s="134"/>
      <c r="I297" s="134">
        <v>12308</v>
      </c>
      <c r="J297" s="134"/>
      <c r="K297" s="134"/>
      <c r="L297" s="134"/>
      <c r="M297" s="134"/>
      <c r="N297" s="134">
        <v>3000</v>
      </c>
      <c r="O297" s="134"/>
      <c r="P297" s="134"/>
    </row>
    <row r="298" spans="1:16" ht="45" customHeight="1">
      <c r="A298" s="137" t="s">
        <v>776</v>
      </c>
      <c r="B298" s="131">
        <f>SUM(C298+F298,L298:P298)</f>
        <v>26232</v>
      </c>
      <c r="C298" s="224"/>
      <c r="D298" s="225"/>
      <c r="E298" s="227"/>
      <c r="F298" s="213">
        <f t="shared" si="44"/>
        <v>26232</v>
      </c>
      <c r="G298" s="158">
        <v>17536</v>
      </c>
      <c r="H298" s="158">
        <v>6152</v>
      </c>
      <c r="I298" s="158">
        <v>2544</v>
      </c>
      <c r="J298" s="158"/>
      <c r="K298" s="158"/>
      <c r="L298" s="158"/>
      <c r="M298" s="158"/>
      <c r="N298" s="158"/>
      <c r="O298" s="158"/>
      <c r="P298" s="158"/>
    </row>
    <row r="299" spans="1:16" ht="52.9" customHeight="1">
      <c r="A299" s="130" t="s">
        <v>262</v>
      </c>
      <c r="B299" s="131">
        <f>SUM(C299:F299,L299:P299)</f>
        <v>8901</v>
      </c>
      <c r="C299" s="213"/>
      <c r="D299" s="213"/>
      <c r="E299" s="213"/>
      <c r="F299" s="213">
        <f t="shared" si="44"/>
        <v>8901</v>
      </c>
      <c r="G299" s="134"/>
      <c r="H299" s="134">
        <v>8901</v>
      </c>
      <c r="I299" s="134"/>
      <c r="J299" s="134"/>
      <c r="K299" s="134"/>
      <c r="L299" s="134"/>
      <c r="M299" s="134"/>
      <c r="N299" s="134"/>
      <c r="O299" s="134"/>
      <c r="P299" s="134"/>
    </row>
    <row r="300" spans="1:16" ht="54" customHeight="1">
      <c r="A300" s="130" t="s">
        <v>774</v>
      </c>
      <c r="B300" s="131">
        <f>SUM(C300:F300,L300:P300)</f>
        <v>3555</v>
      </c>
      <c r="C300" s="213"/>
      <c r="D300" s="213"/>
      <c r="E300" s="213"/>
      <c r="F300" s="213">
        <f t="shared" si="44"/>
        <v>3555</v>
      </c>
      <c r="G300" s="134"/>
      <c r="H300" s="134">
        <v>3555</v>
      </c>
      <c r="I300" s="134"/>
      <c r="J300" s="134"/>
      <c r="K300" s="134"/>
      <c r="L300" s="134"/>
      <c r="M300" s="134"/>
      <c r="N300" s="134"/>
      <c r="O300" s="134"/>
      <c r="P300" s="134"/>
    </row>
    <row r="301" spans="1:17" ht="19.5" customHeight="1">
      <c r="A301" s="130" t="s">
        <v>255</v>
      </c>
      <c r="B301" s="131">
        <f t="shared" si="45" ref="B301:B307">SUM(C301+F301,L301:P301)</f>
        <v>37317</v>
      </c>
      <c r="C301" s="213"/>
      <c r="D301" s="213"/>
      <c r="E301" s="213"/>
      <c r="F301" s="213">
        <f t="shared" si="44"/>
        <v>0</v>
      </c>
      <c r="G301" s="134"/>
      <c r="H301" s="134"/>
      <c r="I301" s="134"/>
      <c r="J301" s="134"/>
      <c r="K301" s="134"/>
      <c r="L301" s="134"/>
      <c r="M301" s="134"/>
      <c r="N301" s="134">
        <v>37317</v>
      </c>
      <c r="O301" s="134"/>
      <c r="P301" s="134"/>
      <c r="Q301" s="81"/>
    </row>
    <row r="302" spans="1:16" ht="19.5" customHeight="1">
      <c r="A302" s="130" t="s">
        <v>871</v>
      </c>
      <c r="B302" s="131">
        <f t="shared" si="45"/>
        <v>300</v>
      </c>
      <c r="C302" s="213"/>
      <c r="D302" s="213"/>
      <c r="E302" s="213"/>
      <c r="F302" s="213">
        <f t="shared" si="44"/>
        <v>0</v>
      </c>
      <c r="G302" s="134"/>
      <c r="H302" s="134"/>
      <c r="I302" s="134"/>
      <c r="J302" s="134"/>
      <c r="K302" s="134"/>
      <c r="L302" s="134">
        <v>300</v>
      </c>
      <c r="M302" s="134"/>
      <c r="N302" s="134"/>
      <c r="O302" s="134"/>
      <c r="P302" s="134"/>
    </row>
    <row r="303" spans="1:17" ht="39.75" customHeight="1">
      <c r="A303" s="130" t="s">
        <v>253</v>
      </c>
      <c r="B303" s="131">
        <f>SUM(C303+F303,L303:P303)</f>
        <v>96710</v>
      </c>
      <c r="C303" s="213"/>
      <c r="D303" s="213"/>
      <c r="E303" s="213"/>
      <c r="F303" s="213">
        <f t="shared" si="44"/>
        <v>0</v>
      </c>
      <c r="G303" s="134"/>
      <c r="H303" s="134"/>
      <c r="I303" s="134"/>
      <c r="J303" s="134"/>
      <c r="K303" s="134"/>
      <c r="L303" s="134"/>
      <c r="M303" s="134"/>
      <c r="N303" s="134">
        <f>96710</f>
        <v>96710</v>
      </c>
      <c r="O303" s="134"/>
      <c r="P303" s="134"/>
      <c r="Q303" s="81"/>
    </row>
    <row r="304" spans="1:16" ht="15" customHeight="1">
      <c r="A304" s="133" t="s">
        <v>54</v>
      </c>
      <c r="B304" s="131">
        <f t="shared" si="45"/>
        <v>217845</v>
      </c>
      <c r="C304" s="213">
        <f>D304+E304</f>
        <v>195975</v>
      </c>
      <c r="D304" s="213">
        <v>156371</v>
      </c>
      <c r="E304" s="213">
        <v>39604</v>
      </c>
      <c r="F304" s="213">
        <f t="shared" si="44"/>
        <v>21870</v>
      </c>
      <c r="G304" s="134">
        <v>350</v>
      </c>
      <c r="H304" s="134">
        <v>12440</v>
      </c>
      <c r="I304" s="134">
        <v>9080</v>
      </c>
      <c r="J304" s="134"/>
      <c r="K304" s="134"/>
      <c r="L304" s="134"/>
      <c r="M304" s="134"/>
      <c r="N304" s="134"/>
      <c r="O304" s="134"/>
      <c r="P304" s="134"/>
    </row>
    <row r="305" spans="1:16" ht="15" customHeight="1">
      <c r="A305" s="135" t="s">
        <v>186</v>
      </c>
      <c r="B305" s="131">
        <f t="shared" si="45"/>
        <v>623737</v>
      </c>
      <c r="C305" s="213">
        <f>D305+E305</f>
        <v>548793</v>
      </c>
      <c r="D305" s="213">
        <v>436806</v>
      </c>
      <c r="E305" s="213">
        <v>111987</v>
      </c>
      <c r="F305" s="213">
        <f t="shared" si="44"/>
        <v>74944</v>
      </c>
      <c r="G305" s="134">
        <v>1200</v>
      </c>
      <c r="H305" s="134">
        <v>45403</v>
      </c>
      <c r="I305" s="134">
        <v>27841</v>
      </c>
      <c r="J305" s="134"/>
      <c r="K305" s="134">
        <v>500</v>
      </c>
      <c r="L305" s="134"/>
      <c r="M305" s="134"/>
      <c r="N305" s="134"/>
      <c r="O305" s="134"/>
      <c r="P305" s="134"/>
    </row>
    <row r="306" spans="1:16" ht="15" customHeight="1">
      <c r="A306" s="135" t="s">
        <v>240</v>
      </c>
      <c r="B306" s="131">
        <f t="shared" si="45"/>
        <v>1190000</v>
      </c>
      <c r="C306" s="213"/>
      <c r="D306" s="213"/>
      <c r="E306" s="213"/>
      <c r="F306" s="213">
        <f t="shared" si="44"/>
        <v>0</v>
      </c>
      <c r="G306" s="134"/>
      <c r="H306" s="134"/>
      <c r="I306" s="134"/>
      <c r="J306" s="134"/>
      <c r="K306" s="134"/>
      <c r="L306" s="134"/>
      <c r="M306" s="134"/>
      <c r="N306" s="134"/>
      <c r="O306" s="134">
        <f>1084000+O307</f>
        <v>1190000</v>
      </c>
      <c r="P306" s="134"/>
    </row>
    <row r="307" spans="1:16" ht="15" customHeight="1">
      <c r="A307" s="216" t="s">
        <v>839</v>
      </c>
      <c r="B307" s="131">
        <f t="shared" si="45"/>
        <v>106000</v>
      </c>
      <c r="C307" s="213"/>
      <c r="D307" s="213"/>
      <c r="E307" s="213"/>
      <c r="F307" s="213"/>
      <c r="G307" s="134"/>
      <c r="H307" s="134"/>
      <c r="I307" s="134"/>
      <c r="J307" s="134"/>
      <c r="K307" s="134"/>
      <c r="L307" s="134"/>
      <c r="M307" s="134"/>
      <c r="N307" s="134"/>
      <c r="O307" s="134">
        <v>106000</v>
      </c>
      <c r="P307" s="134"/>
    </row>
    <row r="308" spans="1:16" ht="15" customHeight="1">
      <c r="A308" s="135" t="s">
        <v>182</v>
      </c>
      <c r="B308" s="131">
        <f>SUM(C308:F308,L308:P308)</f>
        <v>19690</v>
      </c>
      <c r="C308" s="213"/>
      <c r="D308" s="213"/>
      <c r="E308" s="213"/>
      <c r="F308" s="213">
        <f t="shared" si="44"/>
        <v>0</v>
      </c>
      <c r="G308" s="134"/>
      <c r="H308" s="134"/>
      <c r="I308" s="134"/>
      <c r="J308" s="134"/>
      <c r="K308" s="134"/>
      <c r="L308" s="134"/>
      <c r="M308" s="134"/>
      <c r="N308" s="134"/>
      <c r="O308" s="134">
        <v>19690</v>
      </c>
      <c r="P308" s="134"/>
    </row>
    <row r="309" spans="1:16" ht="15" customHeight="1">
      <c r="A309" s="135" t="s">
        <v>55</v>
      </c>
      <c r="B309" s="131">
        <f t="shared" si="46" ref="B309:B340">SUM(C309+F309,L309:P309)</f>
        <v>22137</v>
      </c>
      <c r="C309" s="213"/>
      <c r="D309" s="213"/>
      <c r="E309" s="213"/>
      <c r="F309" s="213">
        <f t="shared" si="44"/>
        <v>22137</v>
      </c>
      <c r="G309" s="134"/>
      <c r="H309" s="134">
        <v>19517</v>
      </c>
      <c r="I309" s="134">
        <v>2620</v>
      </c>
      <c r="J309" s="134"/>
      <c r="K309" s="134"/>
      <c r="L309" s="134"/>
      <c r="M309" s="134"/>
      <c r="N309" s="134"/>
      <c r="O309" s="134"/>
      <c r="P309" s="134"/>
    </row>
    <row r="310" spans="1:16" ht="15" customHeight="1">
      <c r="A310" s="135" t="s">
        <v>66</v>
      </c>
      <c r="B310" s="131">
        <f t="shared" si="46"/>
        <v>270172</v>
      </c>
      <c r="C310" s="213">
        <f>D310+E310</f>
        <v>119620</v>
      </c>
      <c r="D310" s="213">
        <v>110627</v>
      </c>
      <c r="E310" s="213">
        <v>8993</v>
      </c>
      <c r="F310" s="213">
        <f t="shared" si="44"/>
        <v>28883</v>
      </c>
      <c r="G310" s="134"/>
      <c r="H310" s="134">
        <v>27443</v>
      </c>
      <c r="I310" s="134">
        <v>1440</v>
      </c>
      <c r="J310" s="134"/>
      <c r="K310" s="134"/>
      <c r="L310" s="134"/>
      <c r="M310" s="134"/>
      <c r="N310" s="134">
        <v>3505</v>
      </c>
      <c r="O310" s="134">
        <v>118164</v>
      </c>
      <c r="P310" s="134"/>
    </row>
    <row r="311" spans="1:16" ht="15" customHeight="1">
      <c r="A311" s="135" t="s">
        <v>53</v>
      </c>
      <c r="B311" s="131">
        <f t="shared" si="46"/>
        <v>1829964</v>
      </c>
      <c r="C311" s="213">
        <f t="shared" si="47" ref="C311:C319">D311+E311</f>
        <v>1079885</v>
      </c>
      <c r="D311" s="213">
        <v>861217</v>
      </c>
      <c r="E311" s="213">
        <v>218668</v>
      </c>
      <c r="F311" s="213">
        <f t="shared" si="44"/>
        <v>744879</v>
      </c>
      <c r="G311" s="134">
        <v>500</v>
      </c>
      <c r="H311" s="134">
        <v>110365</v>
      </c>
      <c r="I311" s="134">
        <v>631334</v>
      </c>
      <c r="J311" s="134">
        <v>680</v>
      </c>
      <c r="K311" s="134">
        <v>2000</v>
      </c>
      <c r="L311" s="134"/>
      <c r="M311" s="134"/>
      <c r="N311" s="134">
        <v>3000</v>
      </c>
      <c r="O311" s="134">
        <v>2200</v>
      </c>
      <c r="P311" s="134"/>
    </row>
    <row r="312" spans="1:16" ht="15" customHeight="1">
      <c r="A312" s="135" t="s">
        <v>129</v>
      </c>
      <c r="B312" s="131">
        <f t="shared" si="46"/>
        <v>340109</v>
      </c>
      <c r="C312" s="213">
        <f t="shared" si="47"/>
        <v>231763</v>
      </c>
      <c r="D312" s="213">
        <v>196250</v>
      </c>
      <c r="E312" s="213">
        <v>35513</v>
      </c>
      <c r="F312" s="213">
        <f t="shared" si="44"/>
        <v>103183</v>
      </c>
      <c r="G312" s="134">
        <v>342</v>
      </c>
      <c r="H312" s="134">
        <v>18936</v>
      </c>
      <c r="I312" s="134">
        <f>88868+(-5163)</f>
        <v>83705</v>
      </c>
      <c r="J312" s="134">
        <v>0</v>
      </c>
      <c r="K312" s="134">
        <v>200</v>
      </c>
      <c r="L312" s="134"/>
      <c r="M312" s="134"/>
      <c r="N312" s="134">
        <v>5163</v>
      </c>
      <c r="O312" s="134"/>
      <c r="P312" s="134"/>
    </row>
    <row r="313" spans="1:16" ht="15" customHeight="1">
      <c r="A313" s="132" t="s">
        <v>131</v>
      </c>
      <c r="B313" s="131">
        <f t="shared" si="46"/>
        <v>218380</v>
      </c>
      <c r="C313" s="213">
        <f t="shared" si="47"/>
        <v>148772</v>
      </c>
      <c r="D313" s="213">
        <f>116902</f>
        <v>116902</v>
      </c>
      <c r="E313" s="213">
        <v>31870</v>
      </c>
      <c r="F313" s="213">
        <f t="shared" si="44"/>
        <v>67466</v>
      </c>
      <c r="G313" s="134">
        <v>60</v>
      </c>
      <c r="H313" s="134">
        <v>20076</v>
      </c>
      <c r="I313" s="134">
        <v>47330</v>
      </c>
      <c r="J313" s="134"/>
      <c r="K313" s="134"/>
      <c r="L313" s="134"/>
      <c r="M313" s="134"/>
      <c r="N313" s="134"/>
      <c r="O313" s="134">
        <v>2142</v>
      </c>
      <c r="P313" s="134"/>
    </row>
    <row r="314" spans="1:16" ht="15" customHeight="1">
      <c r="A314" s="132" t="s">
        <v>130</v>
      </c>
      <c r="B314" s="131">
        <f>SUM(C314+F314,L314:P314)</f>
        <v>305263</v>
      </c>
      <c r="C314" s="213">
        <f>D314+E314</f>
        <v>218750</v>
      </c>
      <c r="D314" s="213">
        <f>176675</f>
        <v>176675</v>
      </c>
      <c r="E314" s="213">
        <v>42075</v>
      </c>
      <c r="F314" s="213">
        <f>SUM(G314:K314)</f>
        <v>84514</v>
      </c>
      <c r="G314" s="134">
        <v>60</v>
      </c>
      <c r="H314" s="134">
        <f>21173+H315</f>
        <v>21843</v>
      </c>
      <c r="I314" s="134">
        <v>62364</v>
      </c>
      <c r="J314" s="134"/>
      <c r="K314" s="134">
        <f>226+K315</f>
        <v>247</v>
      </c>
      <c r="L314" s="134"/>
      <c r="M314" s="134"/>
      <c r="N314" s="134">
        <f>N315</f>
        <v>1999</v>
      </c>
      <c r="O314" s="134">
        <f>2690+O315</f>
        <v>0</v>
      </c>
      <c r="P314" s="134"/>
    </row>
    <row r="315" spans="1:16" ht="15" customHeight="1">
      <c r="A315" s="242" t="s">
        <v>839</v>
      </c>
      <c r="B315" s="131">
        <f t="shared" si="46"/>
        <v>0</v>
      </c>
      <c r="C315" s="213"/>
      <c r="D315" s="213"/>
      <c r="E315" s="213"/>
      <c r="F315" s="213">
        <f>SUM(G315:K315)</f>
        <v>691</v>
      </c>
      <c r="G315" s="134"/>
      <c r="H315" s="134">
        <v>670</v>
      </c>
      <c r="I315" s="134"/>
      <c r="J315" s="134"/>
      <c r="K315" s="134">
        <v>21</v>
      </c>
      <c r="L315" s="134"/>
      <c r="M315" s="134"/>
      <c r="N315" s="134">
        <v>1999</v>
      </c>
      <c r="O315" s="134">
        <v>-2690</v>
      </c>
      <c r="P315" s="134"/>
    </row>
    <row r="316" spans="1:16" ht="30" customHeight="1">
      <c r="A316" s="130" t="s">
        <v>84</v>
      </c>
      <c r="B316" s="131">
        <f t="shared" si="46"/>
        <v>257427</v>
      </c>
      <c r="C316" s="213">
        <f t="shared" si="47"/>
        <v>205391</v>
      </c>
      <c r="D316" s="213">
        <v>165726</v>
      </c>
      <c r="E316" s="213">
        <v>39665</v>
      </c>
      <c r="F316" s="213">
        <f t="shared" si="44"/>
        <v>52036</v>
      </c>
      <c r="G316" s="134">
        <v>476</v>
      </c>
      <c r="H316" s="134">
        <v>40827</v>
      </c>
      <c r="I316" s="134">
        <v>10733</v>
      </c>
      <c r="J316" s="134"/>
      <c r="K316" s="134"/>
      <c r="L316" s="134"/>
      <c r="M316" s="134"/>
      <c r="N316" s="134"/>
      <c r="O316" s="134"/>
      <c r="P316" s="134"/>
    </row>
    <row r="317" spans="1:16" ht="30" customHeight="1">
      <c r="A317" s="137" t="s">
        <v>187</v>
      </c>
      <c r="B317" s="131">
        <f t="shared" si="46"/>
        <v>73881</v>
      </c>
      <c r="C317" s="236">
        <f t="shared" si="47"/>
        <v>64866</v>
      </c>
      <c r="D317" s="225">
        <v>51752</v>
      </c>
      <c r="E317" s="225">
        <v>13114</v>
      </c>
      <c r="F317" s="213">
        <f t="shared" si="44"/>
        <v>9015</v>
      </c>
      <c r="G317" s="161">
        <v>100</v>
      </c>
      <c r="H317" s="161">
        <v>2543</v>
      </c>
      <c r="I317" s="161">
        <v>6372</v>
      </c>
      <c r="J317" s="161"/>
      <c r="K317" s="161"/>
      <c r="L317" s="161"/>
      <c r="M317" s="161"/>
      <c r="N317" s="161"/>
      <c r="O317" s="161"/>
      <c r="P317" s="161"/>
    </row>
    <row r="318" spans="1:16" ht="30" customHeight="1">
      <c r="A318" s="135" t="s">
        <v>188</v>
      </c>
      <c r="B318" s="131">
        <f t="shared" si="46"/>
        <v>134929</v>
      </c>
      <c r="C318" s="213">
        <f t="shared" si="47"/>
        <v>111491</v>
      </c>
      <c r="D318" s="213">
        <v>90064</v>
      </c>
      <c r="E318" s="213">
        <v>21427</v>
      </c>
      <c r="F318" s="213">
        <f t="shared" si="44"/>
        <v>18188</v>
      </c>
      <c r="G318" s="134"/>
      <c r="H318" s="134">
        <v>6499</v>
      </c>
      <c r="I318" s="134">
        <v>11689</v>
      </c>
      <c r="J318" s="134"/>
      <c r="K318" s="134"/>
      <c r="L318" s="134"/>
      <c r="M318" s="134"/>
      <c r="N318" s="134"/>
      <c r="O318" s="134">
        <v>5250</v>
      </c>
      <c r="P318" s="134"/>
    </row>
    <row r="319" spans="1:16" ht="30" customHeight="1">
      <c r="A319" s="139" t="s">
        <v>172</v>
      </c>
      <c r="B319" s="255">
        <f t="shared" si="46"/>
        <v>5201</v>
      </c>
      <c r="C319" s="235">
        <f t="shared" si="47"/>
        <v>4326</v>
      </c>
      <c r="D319" s="225">
        <v>3500</v>
      </c>
      <c r="E319" s="227">
        <v>826</v>
      </c>
      <c r="F319" s="213">
        <f t="shared" si="44"/>
        <v>875</v>
      </c>
      <c r="G319" s="162"/>
      <c r="H319" s="162">
        <v>580</v>
      </c>
      <c r="I319" s="162">
        <v>295</v>
      </c>
      <c r="J319" s="162"/>
      <c r="K319" s="162"/>
      <c r="L319" s="162"/>
      <c r="M319" s="162"/>
      <c r="N319" s="162"/>
      <c r="O319" s="162"/>
      <c r="P319" s="162"/>
    </row>
    <row r="320" spans="1:16" ht="30" customHeight="1">
      <c r="A320" s="140" t="s">
        <v>693</v>
      </c>
      <c r="B320" s="131">
        <f t="shared" si="46"/>
        <v>500</v>
      </c>
      <c r="C320" s="225"/>
      <c r="D320" s="225"/>
      <c r="E320" s="225"/>
      <c r="F320" s="213">
        <f t="shared" si="44"/>
        <v>500</v>
      </c>
      <c r="G320" s="160"/>
      <c r="H320" s="160">
        <v>200</v>
      </c>
      <c r="I320" s="160">
        <v>300</v>
      </c>
      <c r="J320" s="160"/>
      <c r="K320" s="160"/>
      <c r="L320" s="160"/>
      <c r="M320" s="160"/>
      <c r="N320" s="160"/>
      <c r="O320" s="160"/>
      <c r="P320" s="160"/>
    </row>
    <row r="321" spans="1:16" ht="30" customHeight="1">
      <c r="A321" s="135" t="s">
        <v>56</v>
      </c>
      <c r="B321" s="131">
        <f t="shared" si="46"/>
        <v>632852</v>
      </c>
      <c r="C321" s="213">
        <f>D321+E321</f>
        <v>585311</v>
      </c>
      <c r="D321" s="213">
        <v>473612</v>
      </c>
      <c r="E321" s="213">
        <v>111699</v>
      </c>
      <c r="F321" s="213">
        <f t="shared" si="48" ref="F321:F335">SUM(G321:K321)</f>
        <v>41541</v>
      </c>
      <c r="G321" s="134">
        <v>0</v>
      </c>
      <c r="H321" s="134">
        <v>23302</v>
      </c>
      <c r="I321" s="134">
        <v>18239</v>
      </c>
      <c r="J321" s="134"/>
      <c r="K321" s="134"/>
      <c r="L321" s="134"/>
      <c r="M321" s="134"/>
      <c r="N321" s="134">
        <v>6000</v>
      </c>
      <c r="O321" s="134"/>
      <c r="P321" s="134"/>
    </row>
    <row r="322" spans="1:16" ht="30" customHeight="1">
      <c r="A322" s="130" t="s">
        <v>62</v>
      </c>
      <c r="B322" s="131">
        <f t="shared" si="46"/>
        <v>42383</v>
      </c>
      <c r="C322" s="213">
        <f>D322+E322</f>
        <v>0</v>
      </c>
      <c r="D322" s="213"/>
      <c r="E322" s="213"/>
      <c r="F322" s="213">
        <f t="shared" si="48"/>
        <v>0</v>
      </c>
      <c r="G322" s="134"/>
      <c r="H322" s="134"/>
      <c r="I322" s="134">
        <v>0</v>
      </c>
      <c r="J322" s="134"/>
      <c r="K322" s="134"/>
      <c r="L322" s="134"/>
      <c r="M322" s="134"/>
      <c r="N322" s="134">
        <v>42383</v>
      </c>
      <c r="O322" s="134">
        <v>0</v>
      </c>
      <c r="P322" s="134"/>
    </row>
    <row r="323" spans="1:16" ht="30" customHeight="1">
      <c r="A323" s="135" t="s">
        <v>61</v>
      </c>
      <c r="B323" s="131">
        <f t="shared" si="46"/>
        <v>23100</v>
      </c>
      <c r="C323" s="213">
        <f>D323+E323</f>
        <v>0</v>
      </c>
      <c r="D323" s="213"/>
      <c r="E323" s="213"/>
      <c r="F323" s="213">
        <f t="shared" si="48"/>
        <v>23100</v>
      </c>
      <c r="G323" s="134">
        <v>0</v>
      </c>
      <c r="H323" s="134">
        <v>23100</v>
      </c>
      <c r="I323" s="134"/>
      <c r="J323" s="134"/>
      <c r="K323" s="134"/>
      <c r="L323" s="134"/>
      <c r="M323" s="134"/>
      <c r="N323" s="134">
        <v>0</v>
      </c>
      <c r="O323" s="134"/>
      <c r="P323" s="134"/>
    </row>
    <row r="324" spans="1:16" ht="26.25" customHeight="1">
      <c r="A324" s="130" t="s">
        <v>232</v>
      </c>
      <c r="B324" s="131">
        <f t="shared" si="46"/>
        <v>400</v>
      </c>
      <c r="C324" s="213"/>
      <c r="D324" s="213"/>
      <c r="E324" s="213"/>
      <c r="F324" s="213">
        <f t="shared" si="48"/>
        <v>0</v>
      </c>
      <c r="G324" s="134"/>
      <c r="H324" s="134"/>
      <c r="I324" s="134"/>
      <c r="J324" s="134"/>
      <c r="K324" s="134"/>
      <c r="L324" s="134">
        <v>400</v>
      </c>
      <c r="M324" s="134"/>
      <c r="N324" s="134"/>
      <c r="O324" s="134"/>
      <c r="P324" s="134"/>
    </row>
    <row r="325" spans="1:16" ht="18" customHeight="1">
      <c r="A325" s="130" t="s">
        <v>233</v>
      </c>
      <c r="B325" s="131">
        <f t="shared" si="46"/>
        <v>400</v>
      </c>
      <c r="C325" s="213"/>
      <c r="D325" s="213"/>
      <c r="E325" s="213"/>
      <c r="F325" s="213">
        <f t="shared" si="48"/>
        <v>0</v>
      </c>
      <c r="G325" s="134"/>
      <c r="H325" s="134"/>
      <c r="I325" s="134"/>
      <c r="J325" s="134"/>
      <c r="K325" s="134"/>
      <c r="L325" s="134">
        <v>400</v>
      </c>
      <c r="M325" s="134"/>
      <c r="N325" s="134"/>
      <c r="O325" s="134"/>
      <c r="P325" s="134"/>
    </row>
    <row r="326" spans="1:16" ht="19.5" customHeight="1">
      <c r="A326" s="130" t="s">
        <v>234</v>
      </c>
      <c r="B326" s="131">
        <f t="shared" si="46"/>
        <v>400</v>
      </c>
      <c r="C326" s="213"/>
      <c r="D326" s="213"/>
      <c r="E326" s="213"/>
      <c r="F326" s="213">
        <f t="shared" si="48"/>
        <v>0</v>
      </c>
      <c r="G326" s="134"/>
      <c r="H326" s="134"/>
      <c r="I326" s="134"/>
      <c r="J326" s="134"/>
      <c r="K326" s="134"/>
      <c r="L326" s="134">
        <v>400</v>
      </c>
      <c r="M326" s="134"/>
      <c r="N326" s="134"/>
      <c r="O326" s="134"/>
      <c r="P326" s="134"/>
    </row>
    <row r="327" spans="1:16" ht="17.25" customHeight="1">
      <c r="A327" s="130" t="s">
        <v>834</v>
      </c>
      <c r="B327" s="131">
        <f t="shared" si="46"/>
        <v>300</v>
      </c>
      <c r="C327" s="213"/>
      <c r="D327" s="213"/>
      <c r="E327" s="213"/>
      <c r="F327" s="213"/>
      <c r="G327" s="134"/>
      <c r="H327" s="134"/>
      <c r="I327" s="134"/>
      <c r="J327" s="134"/>
      <c r="K327" s="134"/>
      <c r="L327" s="134">
        <v>300</v>
      </c>
      <c r="M327" s="134"/>
      <c r="N327" s="134"/>
      <c r="O327" s="134"/>
      <c r="P327" s="134"/>
    </row>
    <row r="328" spans="1:16" ht="30" customHeight="1">
      <c r="A328" s="130" t="s">
        <v>243</v>
      </c>
      <c r="B328" s="131">
        <f t="shared" si="46"/>
        <v>188210</v>
      </c>
      <c r="C328" s="213"/>
      <c r="D328" s="213"/>
      <c r="E328" s="213"/>
      <c r="F328" s="213">
        <f t="shared" si="48"/>
        <v>0</v>
      </c>
      <c r="G328" s="134"/>
      <c r="H328" s="134"/>
      <c r="I328" s="134"/>
      <c r="J328" s="134"/>
      <c r="K328" s="134"/>
      <c r="L328" s="134"/>
      <c r="M328" s="134"/>
      <c r="N328" s="134">
        <v>188210</v>
      </c>
      <c r="O328" s="134"/>
      <c r="P328" s="134"/>
    </row>
    <row r="329" spans="1:16" ht="30" customHeight="1">
      <c r="A329" s="130" t="s">
        <v>737</v>
      </c>
      <c r="B329" s="131">
        <f t="shared" si="46"/>
        <v>29524</v>
      </c>
      <c r="C329" s="213"/>
      <c r="D329" s="213"/>
      <c r="E329" s="213"/>
      <c r="F329" s="213">
        <f t="shared" si="48"/>
        <v>0</v>
      </c>
      <c r="G329" s="134"/>
      <c r="H329" s="134"/>
      <c r="I329" s="134"/>
      <c r="J329" s="134"/>
      <c r="K329" s="134"/>
      <c r="L329" s="134"/>
      <c r="M329" s="134"/>
      <c r="N329" s="134">
        <v>29524</v>
      </c>
      <c r="O329" s="134"/>
      <c r="P329" s="134"/>
    </row>
    <row r="330" spans="1:16" ht="30" customHeight="1">
      <c r="A330" s="140" t="s">
        <v>696</v>
      </c>
      <c r="B330" s="131">
        <f>SUM(C330+F330,L330:P330)</f>
        <v>5846</v>
      </c>
      <c r="C330" s="213">
        <f>D330+E330</f>
        <v>534</v>
      </c>
      <c r="D330" s="213">
        <v>241</v>
      </c>
      <c r="E330" s="213">
        <v>293</v>
      </c>
      <c r="F330" s="213">
        <f>SUM(G330:K330)</f>
        <v>5312</v>
      </c>
      <c r="G330" s="134"/>
      <c r="H330" s="134">
        <f>2000+3312</f>
        <v>5312</v>
      </c>
      <c r="I330" s="134">
        <v>0</v>
      </c>
      <c r="J330" s="134"/>
      <c r="K330" s="134"/>
      <c r="L330" s="134"/>
      <c r="M330" s="134"/>
      <c r="N330" s="134"/>
      <c r="O330" s="134">
        <v>0</v>
      </c>
      <c r="P330" s="134">
        <v>0</v>
      </c>
    </row>
    <row r="331" spans="1:16" ht="15" customHeight="1">
      <c r="A331" s="130" t="s">
        <v>185</v>
      </c>
      <c r="B331" s="131">
        <f t="shared" si="46"/>
        <v>100000</v>
      </c>
      <c r="C331" s="213"/>
      <c r="D331" s="213"/>
      <c r="E331" s="213"/>
      <c r="F331" s="213">
        <f t="shared" si="48"/>
        <v>5687</v>
      </c>
      <c r="G331" s="134"/>
      <c r="H331" s="134">
        <v>5687</v>
      </c>
      <c r="I331" s="134"/>
      <c r="J331" s="134"/>
      <c r="K331" s="134"/>
      <c r="L331" s="134"/>
      <c r="M331" s="134"/>
      <c r="N331" s="134">
        <f>100000+(-5687)</f>
        <v>94313</v>
      </c>
      <c r="O331" s="134"/>
      <c r="P331" s="134"/>
    </row>
    <row r="332" spans="1:16" ht="30" customHeight="1">
      <c r="A332" s="130" t="s">
        <v>241</v>
      </c>
      <c r="B332" s="131">
        <f>SUM(C332+F332,L332:P332)</f>
        <v>311642</v>
      </c>
      <c r="C332" s="213"/>
      <c r="D332" s="213"/>
      <c r="E332" s="213"/>
      <c r="F332" s="213">
        <f t="shared" si="48"/>
        <v>2720</v>
      </c>
      <c r="G332" s="134"/>
      <c r="H332" s="134">
        <v>2720</v>
      </c>
      <c r="I332" s="134"/>
      <c r="J332" s="134"/>
      <c r="K332" s="134"/>
      <c r="L332" s="134"/>
      <c r="M332" s="134"/>
      <c r="N332" s="134">
        <f>311642+(-2720)</f>
        <v>308922</v>
      </c>
      <c r="O332" s="134"/>
      <c r="P332" s="134"/>
    </row>
    <row r="333" spans="1:16" ht="32.25" customHeight="1">
      <c r="A333" s="130" t="s">
        <v>242</v>
      </c>
      <c r="B333" s="131">
        <f t="shared" si="46"/>
        <v>380947</v>
      </c>
      <c r="C333" s="213"/>
      <c r="D333" s="213"/>
      <c r="E333" s="213"/>
      <c r="F333" s="213">
        <f t="shared" si="48"/>
        <v>0</v>
      </c>
      <c r="G333" s="134"/>
      <c r="H333" s="134"/>
      <c r="I333" s="134"/>
      <c r="J333" s="134"/>
      <c r="K333" s="134"/>
      <c r="L333" s="134"/>
      <c r="M333" s="134"/>
      <c r="N333" s="134">
        <v>380947</v>
      </c>
      <c r="O333" s="134"/>
      <c r="P333" s="134"/>
    </row>
    <row r="334" spans="1:16" ht="21.75" customHeight="1">
      <c r="A334" s="130" t="s">
        <v>751</v>
      </c>
      <c r="B334" s="131">
        <f t="shared" si="46"/>
        <v>60000</v>
      </c>
      <c r="C334" s="213"/>
      <c r="D334" s="213"/>
      <c r="E334" s="213"/>
      <c r="F334" s="213">
        <f>SUM(G334:K334)</f>
        <v>60000</v>
      </c>
      <c r="G334" s="134"/>
      <c r="H334" s="134">
        <v>60000</v>
      </c>
      <c r="I334" s="134"/>
      <c r="J334" s="134"/>
      <c r="K334" s="134"/>
      <c r="L334" s="134"/>
      <c r="M334" s="134"/>
      <c r="N334" s="134"/>
      <c r="O334" s="134"/>
      <c r="P334" s="134"/>
    </row>
    <row r="335" spans="1:16" ht="35.25" customHeight="1">
      <c r="A335" s="130" t="s">
        <v>746</v>
      </c>
      <c r="B335" s="131">
        <f t="shared" si="46"/>
        <v>3000</v>
      </c>
      <c r="C335" s="213"/>
      <c r="D335" s="213"/>
      <c r="E335" s="213"/>
      <c r="F335" s="213">
        <f t="shared" si="48"/>
        <v>0</v>
      </c>
      <c r="G335" s="134"/>
      <c r="H335" s="134"/>
      <c r="I335" s="134"/>
      <c r="J335" s="134"/>
      <c r="K335" s="134"/>
      <c r="L335" s="134"/>
      <c r="M335" s="134"/>
      <c r="N335" s="134">
        <v>3000</v>
      </c>
      <c r="O335" s="134"/>
      <c r="P335" s="134"/>
    </row>
    <row r="336" spans="1:16" ht="19.5" customHeight="1">
      <c r="A336" s="130" t="s">
        <v>766</v>
      </c>
      <c r="B336" s="131">
        <f t="shared" si="46"/>
        <v>188613</v>
      </c>
      <c r="C336" s="213"/>
      <c r="D336" s="213"/>
      <c r="E336" s="213"/>
      <c r="F336" s="213"/>
      <c r="G336" s="134"/>
      <c r="H336" s="134"/>
      <c r="I336" s="134"/>
      <c r="J336" s="134"/>
      <c r="K336" s="134"/>
      <c r="L336" s="134"/>
      <c r="M336" s="134"/>
      <c r="N336" s="134">
        <v>188613</v>
      </c>
      <c r="O336" s="134"/>
      <c r="P336" s="134"/>
    </row>
    <row r="337" spans="1:16" ht="30" customHeight="1">
      <c r="A337" s="130" t="s">
        <v>765</v>
      </c>
      <c r="B337" s="131">
        <f>SUM(C337+F337,L337:P337)</f>
        <v>12210</v>
      </c>
      <c r="C337" s="213"/>
      <c r="D337" s="213"/>
      <c r="E337" s="213"/>
      <c r="F337" s="213">
        <f>SUM(G337:K337)</f>
        <v>12210</v>
      </c>
      <c r="G337" s="134"/>
      <c r="H337" s="134">
        <f>12210</f>
        <v>12210</v>
      </c>
      <c r="I337" s="134"/>
      <c r="J337" s="134"/>
      <c r="K337" s="134"/>
      <c r="L337" s="134"/>
      <c r="M337" s="134"/>
      <c r="N337" s="134"/>
      <c r="O337" s="134"/>
      <c r="P337" s="134"/>
    </row>
    <row r="338" spans="1:16" ht="49.5" customHeight="1">
      <c r="A338" s="130" t="s">
        <v>820</v>
      </c>
      <c r="B338" s="131">
        <f t="shared" si="46"/>
        <v>5956</v>
      </c>
      <c r="C338" s="213"/>
      <c r="D338" s="213"/>
      <c r="E338" s="213"/>
      <c r="F338" s="213"/>
      <c r="G338" s="134"/>
      <c r="H338" s="134"/>
      <c r="I338" s="134"/>
      <c r="J338" s="134"/>
      <c r="K338" s="134"/>
      <c r="L338" s="134">
        <v>5956</v>
      </c>
      <c r="M338" s="134"/>
      <c r="N338" s="134"/>
      <c r="O338" s="134"/>
      <c r="P338" s="134"/>
    </row>
    <row r="339" spans="1:16" ht="30" customHeight="1">
      <c r="A339" s="130" t="s">
        <v>783</v>
      </c>
      <c r="B339" s="131">
        <f t="shared" si="46"/>
        <v>21130</v>
      </c>
      <c r="C339" s="213"/>
      <c r="D339" s="213"/>
      <c r="E339" s="213"/>
      <c r="F339" s="213"/>
      <c r="G339" s="134"/>
      <c r="H339" s="134"/>
      <c r="I339" s="134"/>
      <c r="J339" s="134"/>
      <c r="K339" s="134"/>
      <c r="L339" s="134">
        <v>21130</v>
      </c>
      <c r="M339" s="134"/>
      <c r="N339" s="134">
        <f>21130+(-21130)</f>
        <v>0</v>
      </c>
      <c r="O339" s="134"/>
      <c r="P339" s="134"/>
    </row>
    <row r="340" spans="1:16" ht="30" customHeight="1">
      <c r="A340" s="130" t="s">
        <v>821</v>
      </c>
      <c r="B340" s="131">
        <f t="shared" si="46"/>
        <v>12000</v>
      </c>
      <c r="C340" s="213"/>
      <c r="D340" s="213"/>
      <c r="E340" s="213"/>
      <c r="F340" s="213"/>
      <c r="G340" s="134"/>
      <c r="H340" s="134"/>
      <c r="I340" s="134"/>
      <c r="J340" s="134"/>
      <c r="K340" s="134"/>
      <c r="L340" s="134">
        <v>12000</v>
      </c>
      <c r="M340" s="134"/>
      <c r="N340" s="134"/>
      <c r="O340" s="134"/>
      <c r="P340" s="134"/>
    </row>
    <row r="341" spans="1:16" ht="30" customHeight="1">
      <c r="A341" s="130" t="s">
        <v>784</v>
      </c>
      <c r="B341" s="131">
        <f>SUM(C341+F341,L341:P341)</f>
        <v>5614</v>
      </c>
      <c r="C341" s="213"/>
      <c r="D341" s="213"/>
      <c r="E341" s="213"/>
      <c r="F341" s="213">
        <f>G341+H341+I341+J341+K341</f>
        <v>5614</v>
      </c>
      <c r="G341" s="134">
        <f>5614+(-131)</f>
        <v>5483</v>
      </c>
      <c r="H341" s="134"/>
      <c r="I341" s="134">
        <v>131</v>
      </c>
      <c r="J341" s="134"/>
      <c r="K341" s="134"/>
      <c r="L341" s="134"/>
      <c r="M341" s="134"/>
      <c r="N341" s="134"/>
      <c r="O341" s="134"/>
      <c r="P341" s="134"/>
    </row>
    <row r="342" spans="1:16" ht="48.75" customHeight="1">
      <c r="A342" s="237" t="s">
        <v>848</v>
      </c>
      <c r="B342" s="131">
        <f>SUM(C342+F342,L342:P342)</f>
        <v>3500</v>
      </c>
      <c r="C342" s="213">
        <f>D342+E342</f>
        <v>1900</v>
      </c>
      <c r="D342" s="213">
        <v>1900</v>
      </c>
      <c r="E342" s="213"/>
      <c r="F342" s="213">
        <f>G342+H342+I342+J342+K342</f>
        <v>1600</v>
      </c>
      <c r="G342" s="134"/>
      <c r="H342" s="134">
        <v>250</v>
      </c>
      <c r="I342" s="134">
        <v>1350</v>
      </c>
      <c r="J342" s="134"/>
      <c r="K342" s="134"/>
      <c r="L342" s="134"/>
      <c r="M342" s="134"/>
      <c r="N342" s="134"/>
      <c r="O342" s="134"/>
      <c r="P342" s="134"/>
    </row>
    <row r="343" spans="1:16" ht="42.75" customHeight="1">
      <c r="A343" s="132" t="s">
        <v>849</v>
      </c>
      <c r="B343" s="131">
        <f>SUM(C343+F343,L343:P343)</f>
        <v>2000</v>
      </c>
      <c r="C343" s="213">
        <f t="shared" si="49" ref="C343:C358">D343+E343</f>
        <v>230</v>
      </c>
      <c r="D343" s="213">
        <v>186</v>
      </c>
      <c r="E343" s="213">
        <v>44</v>
      </c>
      <c r="F343" s="213">
        <f t="shared" si="50" ref="F343:F359">G343+H343+I343+K343</f>
        <v>1770</v>
      </c>
      <c r="G343" s="134"/>
      <c r="H343" s="134">
        <v>1770</v>
      </c>
      <c r="I343" s="134"/>
      <c r="J343" s="134"/>
      <c r="K343" s="134"/>
      <c r="L343" s="134"/>
      <c r="M343" s="134"/>
      <c r="N343" s="134"/>
      <c r="O343" s="134"/>
      <c r="P343" s="134"/>
    </row>
    <row r="344" spans="1:17" ht="42.75" customHeight="1">
      <c r="A344" s="132" t="s">
        <v>854</v>
      </c>
      <c r="B344" s="131">
        <f t="shared" si="51" ref="B344:B351">SUM(C344+F344,L344:P344)</f>
        <v>2400</v>
      </c>
      <c r="C344" s="213">
        <f t="shared" si="49"/>
        <v>750</v>
      </c>
      <c r="D344" s="213">
        <v>750</v>
      </c>
      <c r="E344" s="213"/>
      <c r="F344" s="213">
        <f t="shared" si="50"/>
        <v>1650</v>
      </c>
      <c r="G344" s="134"/>
      <c r="H344" s="134"/>
      <c r="I344" s="134">
        <v>1650</v>
      </c>
      <c r="J344" s="134"/>
      <c r="K344" s="134"/>
      <c r="L344" s="134"/>
      <c r="M344" s="134"/>
      <c r="N344" s="134"/>
      <c r="O344" s="134"/>
      <c r="P344" s="134"/>
      <c r="Q344" s="81"/>
    </row>
    <row r="345" spans="1:16" ht="33.75" customHeight="1">
      <c r="A345" s="132" t="s">
        <v>852</v>
      </c>
      <c r="B345" s="131">
        <f t="shared" si="51"/>
        <v>2000</v>
      </c>
      <c r="C345" s="213">
        <f t="shared" si="49"/>
        <v>710</v>
      </c>
      <c r="D345" s="213">
        <v>710</v>
      </c>
      <c r="E345" s="213"/>
      <c r="F345" s="213">
        <f t="shared" si="50"/>
        <v>1290</v>
      </c>
      <c r="G345" s="134"/>
      <c r="H345" s="134">
        <v>915</v>
      </c>
      <c r="I345" s="134">
        <v>375</v>
      </c>
      <c r="J345" s="134"/>
      <c r="K345" s="134"/>
      <c r="L345" s="134"/>
      <c r="M345" s="134"/>
      <c r="N345" s="134"/>
      <c r="O345" s="134"/>
      <c r="P345" s="134"/>
    </row>
    <row r="346" spans="1:17" ht="36.75" customHeight="1">
      <c r="A346" s="132" t="s">
        <v>853</v>
      </c>
      <c r="B346" s="131">
        <f t="shared" si="51"/>
        <v>1000</v>
      </c>
      <c r="C346" s="213">
        <f t="shared" si="49"/>
        <v>1000</v>
      </c>
      <c r="D346" s="213">
        <v>1000</v>
      </c>
      <c r="E346" s="213"/>
      <c r="F346" s="213">
        <f t="shared" si="50"/>
        <v>0</v>
      </c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81"/>
    </row>
    <row r="347" spans="1:16" ht="47.25" customHeight="1">
      <c r="A347" s="132" t="s">
        <v>860</v>
      </c>
      <c r="B347" s="131">
        <f t="shared" si="51"/>
        <v>400</v>
      </c>
      <c r="C347" s="213">
        <f t="shared" si="49"/>
        <v>400</v>
      </c>
      <c r="D347" s="213">
        <v>400</v>
      </c>
      <c r="E347" s="213"/>
      <c r="F347" s="213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</row>
    <row r="348" spans="1:16" ht="42.75" customHeight="1">
      <c r="A348" s="132" t="s">
        <v>855</v>
      </c>
      <c r="B348" s="131">
        <f t="shared" si="51"/>
        <v>5300</v>
      </c>
      <c r="C348" s="213">
        <f t="shared" si="49"/>
        <v>0</v>
      </c>
      <c r="D348" s="213"/>
      <c r="E348" s="213"/>
      <c r="F348" s="213">
        <f t="shared" si="50"/>
        <v>5300</v>
      </c>
      <c r="G348" s="134"/>
      <c r="H348" s="134">
        <v>5300</v>
      </c>
      <c r="I348" s="134"/>
      <c r="J348" s="134"/>
      <c r="K348" s="134"/>
      <c r="L348" s="134"/>
      <c r="M348" s="134"/>
      <c r="N348" s="134"/>
      <c r="O348" s="134"/>
      <c r="P348" s="134"/>
    </row>
    <row r="349" spans="1:16" ht="51" customHeight="1">
      <c r="A349" s="132" t="s">
        <v>856</v>
      </c>
      <c r="B349" s="131">
        <f t="shared" si="51"/>
        <v>10000</v>
      </c>
      <c r="C349" s="213">
        <f t="shared" si="49"/>
        <v>0</v>
      </c>
      <c r="D349" s="213"/>
      <c r="E349" s="213"/>
      <c r="F349" s="213">
        <f t="shared" si="50"/>
        <v>0</v>
      </c>
      <c r="G349" s="134"/>
      <c r="H349" s="134"/>
      <c r="I349" s="134"/>
      <c r="J349" s="134"/>
      <c r="K349" s="134"/>
      <c r="L349" s="134"/>
      <c r="M349" s="134"/>
      <c r="N349" s="134">
        <v>10000</v>
      </c>
      <c r="O349" s="134"/>
      <c r="P349" s="134"/>
    </row>
    <row r="350" spans="1:16" ht="25.5" customHeight="1">
      <c r="A350" s="132" t="s">
        <v>857</v>
      </c>
      <c r="B350" s="131">
        <f t="shared" si="51"/>
        <v>6492</v>
      </c>
      <c r="C350" s="213">
        <f t="shared" si="49"/>
        <v>271</v>
      </c>
      <c r="D350" s="213">
        <v>219</v>
      </c>
      <c r="E350" s="213">
        <v>52</v>
      </c>
      <c r="F350" s="213">
        <f t="shared" si="50"/>
        <v>6221</v>
      </c>
      <c r="G350" s="134"/>
      <c r="H350" s="134">
        <v>1256</v>
      </c>
      <c r="I350" s="134">
        <v>4965</v>
      </c>
      <c r="J350" s="134"/>
      <c r="K350" s="134"/>
      <c r="L350" s="134"/>
      <c r="M350" s="134"/>
      <c r="N350" s="134"/>
      <c r="O350" s="134"/>
      <c r="P350" s="134"/>
    </row>
    <row r="351" spans="1:16" ht="36.75" customHeight="1">
      <c r="A351" s="132" t="s">
        <v>872</v>
      </c>
      <c r="B351" s="131">
        <f t="shared" si="51"/>
        <v>661.23</v>
      </c>
      <c r="C351" s="213"/>
      <c r="D351" s="213"/>
      <c r="E351" s="213"/>
      <c r="F351" s="213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>
        <v>661.23</v>
      </c>
    </row>
    <row r="352" spans="1:16" ht="51.75" customHeight="1">
      <c r="A352" s="132" t="s">
        <v>865</v>
      </c>
      <c r="B352" s="131">
        <f t="shared" si="52" ref="B352:B359">SUM(C352+F352,L352:P352)</f>
        <v>3500</v>
      </c>
      <c r="C352" s="213">
        <f t="shared" si="49"/>
        <v>0</v>
      </c>
      <c r="D352" s="213"/>
      <c r="E352" s="213"/>
      <c r="F352" s="213">
        <f t="shared" si="50"/>
        <v>3500</v>
      </c>
      <c r="G352" s="134"/>
      <c r="H352" s="134">
        <v>3500</v>
      </c>
      <c r="I352" s="134"/>
      <c r="J352" s="134"/>
      <c r="K352" s="134"/>
      <c r="L352" s="134"/>
      <c r="M352" s="134"/>
      <c r="N352" s="134"/>
      <c r="O352" s="134"/>
      <c r="P352" s="134"/>
    </row>
    <row r="353" spans="1:16" ht="42" customHeight="1">
      <c r="A353" s="132" t="s">
        <v>864</v>
      </c>
      <c r="B353" s="131">
        <f t="shared" si="52"/>
        <v>36004</v>
      </c>
      <c r="C353" s="213">
        <f t="shared" si="49"/>
        <v>0</v>
      </c>
      <c r="D353" s="213"/>
      <c r="E353" s="213"/>
      <c r="F353" s="213">
        <f t="shared" si="50"/>
        <v>36004</v>
      </c>
      <c r="G353" s="134"/>
      <c r="H353" s="134">
        <v>36004</v>
      </c>
      <c r="I353" s="134"/>
      <c r="J353" s="134"/>
      <c r="K353" s="134"/>
      <c r="L353" s="134"/>
      <c r="M353" s="134"/>
      <c r="N353" s="134"/>
      <c r="O353" s="134"/>
      <c r="P353" s="134"/>
    </row>
    <row r="354" spans="1:16" ht="26.45" customHeight="1">
      <c r="A354" s="132" t="s">
        <v>869</v>
      </c>
      <c r="B354" s="131">
        <f t="shared" si="52"/>
        <v>40280</v>
      </c>
      <c r="C354" s="213">
        <f t="shared" si="49"/>
        <v>40000</v>
      </c>
      <c r="D354" s="213">
        <v>32365</v>
      </c>
      <c r="E354" s="213">
        <v>7635</v>
      </c>
      <c r="F354" s="213">
        <f t="shared" si="50"/>
        <v>280</v>
      </c>
      <c r="G354" s="134"/>
      <c r="H354" s="134">
        <v>280</v>
      </c>
      <c r="I354" s="134"/>
      <c r="J354" s="134"/>
      <c r="K354" s="134"/>
      <c r="L354" s="134"/>
      <c r="M354" s="134"/>
      <c r="N354" s="134"/>
      <c r="O354" s="134"/>
      <c r="P354" s="134"/>
    </row>
    <row r="355" spans="1:16" ht="36" customHeight="1">
      <c r="A355" s="242" t="s">
        <v>879</v>
      </c>
      <c r="B355" s="131">
        <f t="shared" si="52"/>
        <v>7057</v>
      </c>
      <c r="C355" s="213">
        <f t="shared" si="49"/>
        <v>7057</v>
      </c>
      <c r="D355" s="213">
        <v>5709</v>
      </c>
      <c r="E355" s="213">
        <v>1348</v>
      </c>
      <c r="F355" s="213">
        <f t="shared" si="50"/>
        <v>0</v>
      </c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</row>
    <row r="356" spans="1:16" ht="36" customHeight="1">
      <c r="A356" s="242" t="s">
        <v>880</v>
      </c>
      <c r="B356" s="131">
        <f t="shared" si="52"/>
        <v>1078</v>
      </c>
      <c r="C356" s="213">
        <f t="shared" si="49"/>
        <v>0</v>
      </c>
      <c r="D356" s="213"/>
      <c r="E356" s="213"/>
      <c r="F356" s="213">
        <f t="shared" si="50"/>
        <v>1078</v>
      </c>
      <c r="G356" s="134"/>
      <c r="H356" s="134">
        <v>1078</v>
      </c>
      <c r="I356" s="134"/>
      <c r="J356" s="134"/>
      <c r="K356" s="134"/>
      <c r="L356" s="134"/>
      <c r="M356" s="134"/>
      <c r="N356" s="134"/>
      <c r="O356" s="134"/>
      <c r="P356" s="134"/>
    </row>
    <row r="357" spans="1:16" ht="36" customHeight="1">
      <c r="A357" s="242" t="s">
        <v>883</v>
      </c>
      <c r="B357" s="131">
        <f t="shared" si="52"/>
        <v>8500</v>
      </c>
      <c r="C357" s="213">
        <f t="shared" si="49"/>
        <v>821</v>
      </c>
      <c r="D357" s="213">
        <v>821</v>
      </c>
      <c r="E357" s="213"/>
      <c r="F357" s="213">
        <f t="shared" si="50"/>
        <v>7679</v>
      </c>
      <c r="G357" s="134"/>
      <c r="H357" s="134">
        <v>4879</v>
      </c>
      <c r="I357" s="134">
        <v>2800</v>
      </c>
      <c r="J357" s="134"/>
      <c r="K357" s="134"/>
      <c r="L357" s="134"/>
      <c r="M357" s="134"/>
      <c r="N357" s="134"/>
      <c r="O357" s="134"/>
      <c r="P357" s="134"/>
    </row>
    <row r="358" spans="1:16" ht="45.75" customHeight="1">
      <c r="A358" s="249" t="s">
        <v>887</v>
      </c>
      <c r="B358" s="131">
        <f t="shared" si="52"/>
        <v>1513</v>
      </c>
      <c r="C358" s="213">
        <f t="shared" si="49"/>
        <v>340</v>
      </c>
      <c r="D358" s="213">
        <v>340</v>
      </c>
      <c r="E358" s="213"/>
      <c r="F358" s="213">
        <f t="shared" si="50"/>
        <v>1173</v>
      </c>
      <c r="G358" s="134"/>
      <c r="H358" s="134">
        <v>155</v>
      </c>
      <c r="I358" s="134">
        <v>1018</v>
      </c>
      <c r="J358" s="134"/>
      <c r="K358" s="134"/>
      <c r="L358" s="134"/>
      <c r="M358" s="134"/>
      <c r="N358" s="134"/>
      <c r="O358" s="134"/>
      <c r="P358" s="134"/>
    </row>
    <row r="359" spans="1:16" ht="45.75" customHeight="1">
      <c r="A359" s="249" t="s">
        <v>894</v>
      </c>
      <c r="B359" s="131">
        <f t="shared" si="52"/>
        <v>23808</v>
      </c>
      <c r="C359" s="213"/>
      <c r="D359" s="213"/>
      <c r="E359" s="213"/>
      <c r="F359" s="213">
        <f t="shared" si="50"/>
        <v>23808</v>
      </c>
      <c r="G359" s="134">
        <v>5000</v>
      </c>
      <c r="H359" s="134">
        <v>18808</v>
      </c>
      <c r="I359" s="134"/>
      <c r="J359" s="134"/>
      <c r="K359" s="134"/>
      <c r="L359" s="134"/>
      <c r="M359" s="134"/>
      <c r="N359" s="134"/>
      <c r="O359" s="134"/>
      <c r="P359" s="134"/>
    </row>
    <row r="360" spans="1:19" ht="26.45" customHeight="1">
      <c r="A360" s="238" t="s">
        <v>57</v>
      </c>
      <c r="B360" s="127">
        <f>SUM(B18:B359)-B280-B268-B266-B192-B187-B164-B153-B159-B116-B110-B96-B86-B67-B264-B262-B260-B257-B255-B253-B247-B245-B243-B240-B238-B235-B233-B231-B229-B227-B315-B307-B196-B185-B140-F366-B216-B285-B199-B143-B132-B288</f>
        <v>35862258.210000001</v>
      </c>
      <c r="C360" s="127">
        <f>SUM(C18:C359)-C280-C268-C266-C192-C187-C164-C153-C159-C116-C110-C96-C86-C67-C264-C262-C260-C257-C255-C253-C247-C245-C243-C240-C238-C235-C233-C231-C229-C227-C315-C307-C196-C185-C140-G366-C216-C285-C199-C143-C132-C288</f>
        <v>21999080.98</v>
      </c>
      <c r="D360" s="127">
        <f t="shared" si="53" ref="D360:F360">SUM(D18:D359)-D280-D268-D266-D192-D187-D164-D153-D159-D116-D110-D96-D86-D67-D264-D262-D260-D257-D255-D253-D247-D245-D243-D240-D238-D235-D233-D231-D229-D227-D315-D307-D196-D185-D140-H366-D216-D285-D199-D143-D132-D288</f>
        <v>17705935</v>
      </c>
      <c r="E360" s="127">
        <f t="shared" si="53"/>
        <v>4293145.9800000004</v>
      </c>
      <c r="F360" s="127">
        <f t="shared" si="53"/>
        <v>8949599</v>
      </c>
      <c r="G360" s="127">
        <f t="shared" si="54" ref="G360:P360">SUM(G18:G359)-G280-G268-G266-G192-G187-G164-G153-G159-G116-G110-G96-G86-G67-G264-G262-G260-G257-G255-G253-G247-G245-G243-G240-G238-G235-G233-G231-G229-G227-G315-G307-G196-G185-G140-K366-G216-G285-G199-G143-G132-G288</f>
        <v>65339</v>
      </c>
      <c r="H360" s="127">
        <f t="shared" si="54"/>
        <v>4735997</v>
      </c>
      <c r="I360" s="127">
        <f t="shared" si="54"/>
        <v>3733661</v>
      </c>
      <c r="J360" s="127">
        <f t="shared" si="54"/>
        <v>14620</v>
      </c>
      <c r="K360" s="127">
        <f t="shared" si="54"/>
        <v>399982</v>
      </c>
      <c r="L360" s="127">
        <f t="shared" si="54"/>
        <v>102031</v>
      </c>
      <c r="M360" s="127">
        <f t="shared" si="54"/>
        <v>860221</v>
      </c>
      <c r="N360" s="127">
        <f t="shared" si="54"/>
        <v>2081286</v>
      </c>
      <c r="O360" s="127">
        <f t="shared" si="54"/>
        <v>1709061</v>
      </c>
      <c r="P360" s="127">
        <f t="shared" si="54"/>
        <v>160979.23000000001</v>
      </c>
      <c r="Q360" s="81"/>
      <c r="R360" s="78"/>
      <c r="S360" s="78"/>
    </row>
    <row r="361" spans="1:16" ht="15" customHeight="1">
      <c r="A361" s="23"/>
      <c r="B361" s="200"/>
      <c r="C361" s="215"/>
      <c r="D361" s="215"/>
      <c r="E361" s="199"/>
      <c r="F361" s="199"/>
      <c r="G361" s="199"/>
      <c r="H361" s="199"/>
      <c r="I361" s="163"/>
      <c r="J361" s="163"/>
      <c r="K361" s="163"/>
      <c r="L361" s="163"/>
      <c r="M361" s="163"/>
      <c r="N361" s="163"/>
      <c r="O361" s="163"/>
      <c r="P361" s="163"/>
    </row>
    <row r="362" spans="1:16" ht="15" customHeight="1">
      <c r="A362" s="23"/>
      <c r="B362" s="129"/>
      <c r="C362" s="215"/>
      <c r="D362" s="215"/>
      <c r="E362" s="199"/>
      <c r="F362" s="199"/>
      <c r="G362" s="199"/>
      <c r="H362" s="199"/>
      <c r="I362" s="163"/>
      <c r="J362" s="163"/>
      <c r="K362" s="163"/>
      <c r="L362" s="163"/>
      <c r="M362" s="163"/>
      <c r="N362" s="163"/>
      <c r="O362" s="163"/>
      <c r="P362" s="163"/>
    </row>
    <row r="363" spans="2:8" ht="15" customHeight="1">
      <c r="B363" s="121" t="s">
        <v>173</v>
      </c>
      <c r="D363" s="78"/>
      <c r="G363" s="57"/>
      <c r="H363" s="57"/>
    </row>
    <row r="364" spans="1:16" ht="18.75">
      <c r="A364" s="77"/>
      <c r="B364" s="121"/>
      <c r="D364" s="78"/>
      <c r="E364" s="199"/>
      <c r="F364" s="199"/>
      <c r="G364" s="199"/>
      <c r="H364" s="199"/>
      <c r="I364" s="121"/>
      <c r="J364" s="121"/>
      <c r="K364" s="121"/>
      <c r="L364" s="121"/>
      <c r="M364" s="121"/>
      <c r="N364" s="121"/>
      <c r="O364" s="121"/>
      <c r="P364" s="121"/>
    </row>
    <row r="365" spans="3:16" ht="15">
      <c r="C365" s="78"/>
      <c r="D365" s="78"/>
      <c r="E365" s="199"/>
      <c r="F365" s="199"/>
      <c r="G365" s="199"/>
      <c r="H365" s="199"/>
      <c r="I365" s="164"/>
      <c r="J365" s="164"/>
      <c r="K365" s="164"/>
      <c r="L365" s="164"/>
      <c r="M365" s="164"/>
      <c r="N365" s="164"/>
      <c r="O365" s="164"/>
      <c r="P365" s="164"/>
    </row>
    <row r="366" spans="5:16" ht="15">
      <c r="E366" s="199"/>
      <c r="F366" s="199"/>
      <c r="G366" s="199"/>
      <c r="H366" s="199"/>
      <c r="P366" s="164"/>
    </row>
    <row r="367" spans="5:8" ht="15">
      <c r="E367" s="199"/>
      <c r="F367" s="199"/>
      <c r="G367" s="199"/>
      <c r="H367" s="199"/>
    </row>
    <row r="368" spans="5:8" ht="15">
      <c r="E368" s="199"/>
      <c r="F368" s="199"/>
      <c r="G368" s="199"/>
      <c r="H368" s="199"/>
    </row>
    <row r="371" spans="7:12" ht="15">
      <c r="G371" s="164"/>
      <c r="H371" s="164"/>
      <c r="I371" s="164"/>
      <c r="J371" s="164"/>
      <c r="K371" s="164"/>
      <c r="L371" s="164"/>
    </row>
  </sheetData>
  <autoFilter ref="A15:P36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6">
    <mergeCell ref="A13:P13"/>
    <mergeCell ref="C15:P15"/>
    <mergeCell ref="A15:A17"/>
    <mergeCell ref="B15:B17"/>
    <mergeCell ref="A1:A12"/>
    <mergeCell ref="B1:E12"/>
  </mergeCells>
  <printOptions horizontalCentered="1"/>
  <pageMargins left="0.708661417322835" right="0.708661417322835" top="0.748031496062992" bottom="0.748031496062992" header="0.31496062992126" footer="0.31496062992126"/>
  <pageSetup fitToHeight="0" orientation="landscape" paperSize="9" scale="6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2024-09-23T06:41:18Z</cp:lastPrinted>
  <dcterms:created xsi:type="dcterms:W3CDTF">2014-01-31T18:56:56Z</dcterms:created>
  <dcterms:modified xsi:type="dcterms:W3CDTF">2024-09-23T06:41:25Z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