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tyles.xml" ContentType="application/vnd.openxmlformats-officedocument.spreadsheetml.styles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visvaris.zzdats.lv/WebDav/wordstorage/"/>
    </mc:Choice>
  </mc:AlternateContent>
  <bookViews>
    <workbookView xWindow="-120" yWindow="-120" windowWidth="29040" windowHeight="15840" activeTab="1"/>
  </bookViews>
  <sheets>
    <sheet name="1.pielikums" sheetId="4" r:id="rId3"/>
    <sheet name="2.pielikums" sheetId="3" r:id="rId4"/>
    <sheet name="3.pielikums" sheetId="2" r:id="rId5"/>
    <sheet name="4.pielikums" sheetId="1" r:id="rId6"/>
  </sheets>
  <definedNames>
    <definedName name="_xlnm._FilterDatabase" localSheetId="3" hidden="1">'4.pielikums'!$A$15:$P$523</definedName>
    <definedName name="_xlnm.Print_Area" localSheetId="3">'4.pielikums'!$A$1:$P$527</definedName>
  </definedNames>
  <calcPr calcId="191029"/>
</workbook>
</file>

<file path=xl/calcChain.xml><?xml version="1.0" encoding="utf-8"?>
<calcChain xmlns="http://schemas.openxmlformats.org/spreadsheetml/2006/main">
  <c r="B18" i="1" l="1"/>
</calcChain>
</file>

<file path=xl/sharedStrings.xml><?xml version="1.0" encoding="utf-8"?>
<sst xmlns="http://schemas.openxmlformats.org/spreadsheetml/2006/main" count="1622" uniqueCount="911">
  <si>
    <t>Iestādes</t>
  </si>
  <si>
    <t>Balvu novada administrācija</t>
  </si>
  <si>
    <t>Deputātu darba samaksa</t>
  </si>
  <si>
    <t>Balvu pagasta pārvalde</t>
  </si>
  <si>
    <t>Bērzkalnes pagasta pārvalde</t>
  </si>
  <si>
    <t>Bērzpils pagasta pārvalde</t>
  </si>
  <si>
    <t>Briežuciema pagasta pārvalde</t>
  </si>
  <si>
    <t>Krišjāņu pagasta pārvalde</t>
  </si>
  <si>
    <t>Kubulu pagasta pārvalde</t>
  </si>
  <si>
    <t>Lazdulejas pagasta pārvalde</t>
  </si>
  <si>
    <t>Tilžas pagasta pārvalde</t>
  </si>
  <si>
    <t>Vectilžas pagasta pārvalde</t>
  </si>
  <si>
    <t>Vīksnas pagasta pārvalde</t>
  </si>
  <si>
    <t>Izdevumi neparedzētiem gadījumiem</t>
  </si>
  <si>
    <t>Biedru maksa</t>
  </si>
  <si>
    <t>Dzimtsarakstu nodaļa</t>
  </si>
  <si>
    <t>Pašvaldības policija</t>
  </si>
  <si>
    <t>Būvvalde</t>
  </si>
  <si>
    <t>Pārējā ekonomiskā darbība (PVN)</t>
  </si>
  <si>
    <t>Ielu apgaismojums Balvu pilsētā</t>
  </si>
  <si>
    <t>Balvu pagasta komunālā saimniecība</t>
  </si>
  <si>
    <t>Bērzpils pagasta komunālā saimniecība</t>
  </si>
  <si>
    <t>Briežuciema pagasta komunālā saimniecība</t>
  </si>
  <si>
    <t>Krišjāņu pagasta komunālā saimniecība</t>
  </si>
  <si>
    <t>Kubulu pagasta komunālā saimniecība</t>
  </si>
  <si>
    <t>Lazdulejas pagasta komunālā saimniecība</t>
  </si>
  <si>
    <t>Tilžas pagasta komunālā saimniecība</t>
  </si>
  <si>
    <t>Vectilžas pagasta komunālā saimniecība</t>
  </si>
  <si>
    <t>Vīksnas pagasta komunālā saimniecība</t>
  </si>
  <si>
    <t>Pašvaldības aģentūra SAN-TEX</t>
  </si>
  <si>
    <t>Briežuciema FVP</t>
  </si>
  <si>
    <t>Krišjānu FVP</t>
  </si>
  <si>
    <t>Kubulu VFP</t>
  </si>
  <si>
    <t>Lazdulejas VFP</t>
  </si>
  <si>
    <t>Vectilžas VFP</t>
  </si>
  <si>
    <t>Vīksnas VFP</t>
  </si>
  <si>
    <t>Balvu Centrālā bibliotēka</t>
  </si>
  <si>
    <t>KAC pasākumi</t>
  </si>
  <si>
    <t>Briežuciema Tautas nams</t>
  </si>
  <si>
    <t>Krišjāņu Tautas nams</t>
  </si>
  <si>
    <t>Kubulu kultūras nams</t>
  </si>
  <si>
    <t>Vīksnas Tautas nams</t>
  </si>
  <si>
    <t>Pārējie pasākumi, sabiedriskās attiecības</t>
  </si>
  <si>
    <t>PII Pīlādzītis</t>
  </si>
  <si>
    <t>PII Sienāzītis</t>
  </si>
  <si>
    <t>Bērzkalnes PII</t>
  </si>
  <si>
    <t>PII Ieviņa</t>
  </si>
  <si>
    <t>Stacijas pamatskola</t>
  </si>
  <si>
    <t>Balvu Valsts ģimnāzija</t>
  </si>
  <si>
    <t>Balvu mūzikas skola</t>
  </si>
  <si>
    <t>Balvu mākslas skola</t>
  </si>
  <si>
    <t>Balvu sporta skola</t>
  </si>
  <si>
    <t>Transporta izdevumu kompensācija skolēniem</t>
  </si>
  <si>
    <t>Pansionāts "Balvi"</t>
  </si>
  <si>
    <t>Bāriņtiesa</t>
  </si>
  <si>
    <t>Sociālo māju uzturēšana</t>
  </si>
  <si>
    <t>Asisitenta pakalpojumi personām ar invaliditāti</t>
  </si>
  <si>
    <t>KOPĀ</t>
  </si>
  <si>
    <t>Balvu sporta skolas Peldbaseins</t>
  </si>
  <si>
    <t>Balvu Profesionālā un vispārizglītojošā vidusskola</t>
  </si>
  <si>
    <t>Atskurbtuves uzturēšana</t>
  </si>
  <si>
    <t>Profesionālā sociālā darba attīstība pašvaldībās</t>
  </si>
  <si>
    <t>Deinstitucionālizācijas pasākumu īstenošana Latgales reģionā</t>
  </si>
  <si>
    <t>Latgales speciālās ekonomiskās zonas atbalsts</t>
  </si>
  <si>
    <t>Projekts "Karjeras atbalsts vispārējās un profesionālās izglītības iestādēs"</t>
  </si>
  <si>
    <t>Ziemeļlatgales biznesa un tūrisma centrs</t>
  </si>
  <si>
    <t>Sociālie pakalpojumi</t>
  </si>
  <si>
    <t>Programma "Latvijas skolas soma"</t>
  </si>
  <si>
    <t>Balvu pilsētas autoceļu (ielu) uzturēšana</t>
  </si>
  <si>
    <t>Balvu pagasta autoceļu (ielu) uzturēšana</t>
  </si>
  <si>
    <t>Bērzkalnes pagasta autoceļu (ielu) uzturēšana</t>
  </si>
  <si>
    <t>Bērzpils pagasta autoceļu (ielu) uzturēšana</t>
  </si>
  <si>
    <t>Briežuciema pagasta autoceļu (ielu) uzturēšana</t>
  </si>
  <si>
    <t>Krišjāņu pagasta autoceļu (ielu) uzturēšana</t>
  </si>
  <si>
    <t>Kubulu pagasta autoceļu (ielu) uzturēšana</t>
  </si>
  <si>
    <t>Lazdulejas pagasta autoceļu (ielu) uzturēšana</t>
  </si>
  <si>
    <t>Tilžas pagasta autoceļu (ielu) uzturēšana</t>
  </si>
  <si>
    <t>Vectilžas pagasta autoceļu (ielu) uzturēšana</t>
  </si>
  <si>
    <t>Vīksnas pagasta autoceļu (ielu) uzturēšana</t>
  </si>
  <si>
    <t>Vides piesārņojuma novēršana un samazināšana (dabas resursu nodoklis)</t>
  </si>
  <si>
    <t>Balvu Kultūras un atpūtas centrs</t>
  </si>
  <si>
    <t>Norēķini ar citām pašvaldībām par izglītības pakalpojumiem</t>
  </si>
  <si>
    <t>Balvu Novada muzejs</t>
  </si>
  <si>
    <t>Balvu sākumskola</t>
  </si>
  <si>
    <t>Daudzfunkcionālais sociālo pakalpojumu centrs</t>
  </si>
  <si>
    <t>Sociālā rakstura maksājumi un kompensācijas</t>
  </si>
  <si>
    <t>Transferti</t>
  </si>
  <si>
    <t xml:space="preserve"> Atlīdzība</t>
  </si>
  <si>
    <t>Preces un pakalpojumi</t>
  </si>
  <si>
    <t>Subsīdijas un dotācijas</t>
  </si>
  <si>
    <t>Procentu maksājumi</t>
  </si>
  <si>
    <t>Pamatkapitāla veidošana</t>
  </si>
  <si>
    <t>Izdevumi pa ekonomiskās klasifikācijas kodiem (EUR)</t>
  </si>
  <si>
    <t>Viļakas pilsētas pārvalde</t>
  </si>
  <si>
    <t>Valsts un pašvaldības vienotais klientu apkalpošanas centrs</t>
  </si>
  <si>
    <t>Kupravas pagasta pārvalde</t>
  </si>
  <si>
    <t>Medņevas pagasta pārvalde</t>
  </si>
  <si>
    <t>Susāju pagasta pārvalde</t>
  </si>
  <si>
    <t>Šķilbēnu pagasta pārvalde</t>
  </si>
  <si>
    <t>Vecumu pagasta pārvalde</t>
  </si>
  <si>
    <t>Žīguru pagasta pārvalde</t>
  </si>
  <si>
    <t>Susāju pārvaldes teritorijas apsaimniekošana</t>
  </si>
  <si>
    <t>Medņevas komunālā saimniecība</t>
  </si>
  <si>
    <t>Viļakas pilsētas komunālā saimniecība - apkure</t>
  </si>
  <si>
    <t>Viļakas pilsētas komunālā saimniecība-ūdens</t>
  </si>
  <si>
    <t>Žīguru komunālā saimniecība - apkure</t>
  </si>
  <si>
    <t>Medņevas pagasta teritorijas apsaimniekošana</t>
  </si>
  <si>
    <t>Medņevas komunālā saimniecība - ūdens</t>
  </si>
  <si>
    <t>Šķilbēnu pagasta teritorijas apsaimniekošana</t>
  </si>
  <si>
    <t>Upītes komunālā saimniecība - ūdens</t>
  </si>
  <si>
    <t xml:space="preserve"> Rekavas komunālā saimniecība - apkure</t>
  </si>
  <si>
    <t>Rekavas komunālā saimniecība - ūdens</t>
  </si>
  <si>
    <t>Šķilbēnu komunālā saimniecība - ūdens</t>
  </si>
  <si>
    <t>Kupravas komunālā saimniecība - apkure</t>
  </si>
  <si>
    <t>Kupravas komunālā saimniecība - ūdens</t>
  </si>
  <si>
    <t>Vecumu komunālā saimniecība - apkure</t>
  </si>
  <si>
    <t xml:space="preserve"> Vecumu pagasta teritorijas apsaimniekošana</t>
  </si>
  <si>
    <t>Vecumu komunālā saimniecība - ūdens</t>
  </si>
  <si>
    <t>Žīguru pagasta teritorijas apsaimniekošana</t>
  </si>
  <si>
    <t xml:space="preserve"> Žīguru komunālā saimniecība - ūdens</t>
  </si>
  <si>
    <t>Kupravas pārvaldes pašvaldības dzīvokļu uzturēšana</t>
  </si>
  <si>
    <t>Viļakas pilsētas pašvaldības dzīvokļu uzturēšana</t>
  </si>
  <si>
    <t>Kupravas komunālā saimniecība</t>
  </si>
  <si>
    <t>Žīguru pārvaldes pašvaldības  dzīvokļu uzturēšana</t>
  </si>
  <si>
    <t>Viļakas pilsētas labiekārtošana</t>
  </si>
  <si>
    <t>Šķilbēnu komunālā saimniecība</t>
  </si>
  <si>
    <t>Vecumu pārvaldes pašvaldības dzīvokļu uzturēšana</t>
  </si>
  <si>
    <t>Upītes FVP</t>
  </si>
  <si>
    <t>Rugāju sociālās aprūpes centrs</t>
  </si>
  <si>
    <t>Viļakas sociālās aprūpes centrs</t>
  </si>
  <si>
    <t>Šķilbēnu sociālās aprūpes māja</t>
  </si>
  <si>
    <t>Lazdukalna saieta nams</t>
  </si>
  <si>
    <t>Skujetnieku FVP</t>
  </si>
  <si>
    <t>Kultūrvēsturiskā lauku sēta "Vēršukalns"</t>
  </si>
  <si>
    <t>Viļakas muzejs</t>
  </si>
  <si>
    <t xml:space="preserve">Rugāju muzejs  </t>
  </si>
  <si>
    <t>Lazdukalna pagasta pārvalde</t>
  </si>
  <si>
    <t>Rugāju pagasta pārvalde</t>
  </si>
  <si>
    <t>Algotie pagaidu sabiedriskie darbi</t>
  </si>
  <si>
    <t>Balkanu Dabas parks</t>
  </si>
  <si>
    <t>Viļakas pilsētas komunālā saimniecība - atkritumu apsaimniekošana</t>
  </si>
  <si>
    <t>Medņevas komunālā saimniecība -notekūdeņu apsaimniekošana</t>
  </si>
  <si>
    <t>Upītes komunālā saimniecība -notekūdeņu apsaimniekošana</t>
  </si>
  <si>
    <t>Rekavas komunālā saimniecība -notekūdeņu apsaimniekošana</t>
  </si>
  <si>
    <t>Kupravas komunālā saimniecība -notekūdeņu apsaimniekošana</t>
  </si>
  <si>
    <t>Vecumu komunālā saimniecība -notekūdeņu apsaimniekošana</t>
  </si>
  <si>
    <t>Žīguru komunālā saimniecība -notekūdeņu apsaimniekošana</t>
  </si>
  <si>
    <t xml:space="preserve">Ūdenssaimniecības attīstība Rugājos 2.kārta </t>
  </si>
  <si>
    <t>Lazdukalna pagasta komunālā saimniecība</t>
  </si>
  <si>
    <t>Rugāju pagasta komunālā saimniecība</t>
  </si>
  <si>
    <t>Lazdukalna pagasta ūdensapgāde</t>
  </si>
  <si>
    <t>Rugāju pagasta ūdensapgāde</t>
  </si>
  <si>
    <t>Kupravas feldšeru punkts</t>
  </si>
  <si>
    <t>Baltinavas muzejs</t>
  </si>
  <si>
    <t>Baltinavas kultūras nams</t>
  </si>
  <si>
    <t>Žīguru kultūras nams</t>
  </si>
  <si>
    <t>Viļakas kultūras nams</t>
  </si>
  <si>
    <t>Nemateriālās kultūras mantojuma centrs "Upīte" - tautas nams</t>
  </si>
  <si>
    <t>Medņevas Tautas nams</t>
  </si>
  <si>
    <t>Šķilbēnu pagasta kultūras centrs "Rekova"</t>
  </si>
  <si>
    <t>Skolēnu pārvadāšana Šķilbēnu pārvalde</t>
  </si>
  <si>
    <t>Viļakas mūzikas un mākslas skola</t>
  </si>
  <si>
    <t>Rekavas vidusskola</t>
  </si>
  <si>
    <t>Viduču pamatskola</t>
  </si>
  <si>
    <t>Projekts "Atbalsts izglītojamo individuālo kompetenču attīstībai"</t>
  </si>
  <si>
    <t>Viļakas pirmsskolas izglītības iestāde "Namiņš"</t>
  </si>
  <si>
    <t>Medņevas pirmsskolas izglītības iestāde "Pasaciņa"</t>
  </si>
  <si>
    <t>Eglaines pamatskola</t>
  </si>
  <si>
    <t>Izglītības pārvalde</t>
  </si>
  <si>
    <t>Baltinavas mūzikas un mākslas skola</t>
  </si>
  <si>
    <t>Baltinavas vidusskola</t>
  </si>
  <si>
    <t>Veļas mazgāšanas pakalpojumi (Rugāji)</t>
  </si>
  <si>
    <t xml:space="preserve">Domes priekšsēdētājs                                                                                              S.Maksimovs                                               </t>
  </si>
  <si>
    <t>Bērzpils pamatskola</t>
  </si>
  <si>
    <t>4.pielikums</t>
  </si>
  <si>
    <t>Rugāju vidusskola</t>
  </si>
  <si>
    <t>Ziemeļlatgales sporta centrs</t>
  </si>
  <si>
    <t>Izglītības pārvaldes pasākumi</t>
  </si>
  <si>
    <t>Kultūras pārvalde</t>
  </si>
  <si>
    <t>Kultūras pārvaldes pasākumi</t>
  </si>
  <si>
    <t>Bijušo pagastu padomju un pilsētu domju vadītāju pabalsti</t>
  </si>
  <si>
    <t>Svētku un atceres dienu pabalsti</t>
  </si>
  <si>
    <t>Balvu novada pašvaldības dzīvojamā fonda atjaunošana</t>
  </si>
  <si>
    <t>Pašvaldības aizņēmumu apkalpošana un procentu maksa</t>
  </si>
  <si>
    <t>Tehniskās dokumentācijas izstrāde</t>
  </si>
  <si>
    <t>Sociālā pārvalde</t>
  </si>
  <si>
    <t>Dienas sociālas aprūpes centrs Benislavā</t>
  </si>
  <si>
    <t>Dienas aprūpes centrs un grupu dzīvokļi (māja) Viļakā</t>
  </si>
  <si>
    <t>Zobārstniecības kabinets  (Rugāju pagastā)</t>
  </si>
  <si>
    <t>Novada teritorijas īpašuma vadība</t>
  </si>
  <si>
    <t xml:space="preserve">Biznesa ideju konkurss </t>
  </si>
  <si>
    <t>Rugāju tautas nams</t>
  </si>
  <si>
    <t>Skolēnu pārvadājumi Krišjāņu pagastā</t>
  </si>
  <si>
    <t>Novada teritorijas apsaimniekošana</t>
  </si>
  <si>
    <t>Skolēnu pārvadājumi Lazdulejas pagastā</t>
  </si>
  <si>
    <t>Skolēnu pārvadājumi Bērzkalnes pagastā</t>
  </si>
  <si>
    <t>Skolēnu pārvadājumi Bērzpils pagastā</t>
  </si>
  <si>
    <t>Rubeņu Tautas nams</t>
  </si>
  <si>
    <t>Vecumu pagasta komunālā saimniecība</t>
  </si>
  <si>
    <t>Lazdulejas Saieta nams</t>
  </si>
  <si>
    <t>Bērzpils Saieta nams</t>
  </si>
  <si>
    <t>Skolēnu pārvadājumi Vīksnas pagastā</t>
  </si>
  <si>
    <t>Skolēnu pārvadājumi Rugāju pagastā</t>
  </si>
  <si>
    <t>Baltinavas pagasta ūdensapgāde</t>
  </si>
  <si>
    <t>Balvu pagasta ūdensapgāde</t>
  </si>
  <si>
    <t>Naudaskalna Tautas nams</t>
  </si>
  <si>
    <t>Ziemeļlatgales sporta centra pasākumi</t>
  </si>
  <si>
    <t>Vectilžas Sporta un atpūtas centrs</t>
  </si>
  <si>
    <t>Skolēnu pārvadājumi Vectilžas pagastā</t>
  </si>
  <si>
    <t>Skolēnu pārvadājumi Baltinavas pagastā</t>
  </si>
  <si>
    <t>Skolēnu pārvadāšana Viļakā</t>
  </si>
  <si>
    <t>Komisiju darba samaksa</t>
  </si>
  <si>
    <t>Skolēnu pārvadājumi Kubulu pagastā</t>
  </si>
  <si>
    <t>Baltinavas pagasta teritorijas apsiamniekošana</t>
  </si>
  <si>
    <t>Skolēnu pārvadājumi Tilžas pagastā</t>
  </si>
  <si>
    <t>Viļakas pilsētas komunālā saimniecība-notekūdenu apsaimniekošana</t>
  </si>
  <si>
    <t>Tilžas kultūras un vēstures nams</t>
  </si>
  <si>
    <t>Lazdukalna pagasta autoceļu (ielu) uzturēšana</t>
  </si>
  <si>
    <t>Medņevas pagasta autoceļu (ielu) uzturēšana</t>
  </si>
  <si>
    <t>Kupravas pagasta autoceļu (ielu) uzturēšana</t>
  </si>
  <si>
    <t>Rugāju pagasta autoceļu (ielu) uzturēšana</t>
  </si>
  <si>
    <t>Baltinavas pagasta autoceļu (ielu) uzturēšana</t>
  </si>
  <si>
    <t>Susāju pagasta autoceļu (ielu) uzturēšana</t>
  </si>
  <si>
    <t>Šķilbēnu pagasta autoceļu (ielu) uzturēšana</t>
  </si>
  <si>
    <t>Žīguru pagasta autoceļu (ielu) uzturēšana</t>
  </si>
  <si>
    <t>Viļakas pilsētas autoceļu (ielu) uzturēšana</t>
  </si>
  <si>
    <t>Vecumu pagasta autoceļu (ielu) uzturēšana</t>
  </si>
  <si>
    <t xml:space="preserve">Atbalsts priekšlaicīgas mācību pārtraukšanas samazināšanai </t>
  </si>
  <si>
    <t>Balvu pilsētas stadiona uzturēšana</t>
  </si>
  <si>
    <t>Dotācijas nevalstiskajām organizācijām, biedrībām projektu līdzfinansējumam, priekšfinansējumam</t>
  </si>
  <si>
    <t>Politiski represēto apvienība Balvu nodaļa</t>
  </si>
  <si>
    <t>Balvu pensionāru biedrība</t>
  </si>
  <si>
    <t>Balvu Teritoriālā Invalīdu biedrība</t>
  </si>
  <si>
    <t>Bērzpils pamatskolas pirmsskolas izglītības grupa Krišjāņos</t>
  </si>
  <si>
    <t>Tilžas pamatskola</t>
  </si>
  <si>
    <t>Tilžas pamatskolas pirmsskolas izglītības grupa Vectilžā</t>
  </si>
  <si>
    <t>Tilžas pamatskolas pirmsskolas izglītības grupas Tilžā</t>
  </si>
  <si>
    <t>Balvu novada Bērnu un jauniešu centrs</t>
  </si>
  <si>
    <t>Sociālie pabalsti</t>
  </si>
  <si>
    <t>Baltinavas muzeja ēkas energoefektivitātes paaugstināšana</t>
  </si>
  <si>
    <t>Rugāju pagasta pārvaldes ēkas energoefektivitātes paaugstināšana</t>
  </si>
  <si>
    <t>Muižas apbūves kompleksa pārbūve 2.kārta</t>
  </si>
  <si>
    <t>Mācību, darba un dienesta komandējumi, darba braucieni</t>
  </si>
  <si>
    <t>Pakalpojumi</t>
  </si>
  <si>
    <t>Krājumi, materiāli, energoresursi, preces, biroja preces un inventārs</t>
  </si>
  <si>
    <t>Krišjāņu komunālā saimniecība -notekūdeņu apsaimniekošana</t>
  </si>
  <si>
    <t>Krišjāņu komunālā saimniecība - ūdens</t>
  </si>
  <si>
    <t>Krišjāņu komunālā saimniecība - apkure</t>
  </si>
  <si>
    <t>Kubulu komunālā saimniecība -notekūdeņu apsaimniekošana</t>
  </si>
  <si>
    <t>Kubulu komunālā saimniecība - ūdens</t>
  </si>
  <si>
    <t>ERAF projekts Balvu mākslas skolas ēkas energoefektivitātes paaugstināšana</t>
  </si>
  <si>
    <t>Vides pieejamības veicināšana Balvu novada Nodarbinātības valsts aģentūrā</t>
  </si>
  <si>
    <t>Balvu sākumskolas pārbūve</t>
  </si>
  <si>
    <t>Bērzpils komunālā saimniecība -notekūdeņu apsaimniekošana</t>
  </si>
  <si>
    <t>Bērzpils komunālā saimniecība - ūdens</t>
  </si>
  <si>
    <t>Tilžas komunālā saimniecība -notekūdeņu apsaimniekošana</t>
  </si>
  <si>
    <t>Tilžas komunālā saimniecība - apkure</t>
  </si>
  <si>
    <t>Tilžas komunālā saimniecība - ūdens</t>
  </si>
  <si>
    <t>Viduču pamatskola Žīguros</t>
  </si>
  <si>
    <t>Erasmus + projekts Play, Learn, Act, Ensure Sustainable Development Viļakas Valsts ģimnāzija</t>
  </si>
  <si>
    <t>3.pielikums</t>
  </si>
  <si>
    <t>Klasifikācijas kods</t>
  </si>
  <si>
    <t>Iestādes un pasākumi</t>
  </si>
  <si>
    <t>Finansēšanas avots</t>
  </si>
  <si>
    <t xml:space="preserve">Kopā </t>
  </si>
  <si>
    <t>Vispārējie ieņēmumi</t>
  </si>
  <si>
    <t xml:space="preserve">Budžeta iestāžu ieņēmumi </t>
  </si>
  <si>
    <t>Valsts un pašvaldību transferti</t>
  </si>
  <si>
    <t>Aizņēmumi</t>
  </si>
  <si>
    <t>01.000</t>
  </si>
  <si>
    <t>Vispārējie valdības dienesti</t>
  </si>
  <si>
    <t>03.000</t>
  </si>
  <si>
    <t>Sabiedriskā kārtība un drošība</t>
  </si>
  <si>
    <t>04.000</t>
  </si>
  <si>
    <t>Ekonomiskā darbība</t>
  </si>
  <si>
    <t>Balvu novada Būvvalde</t>
  </si>
  <si>
    <t>Ziemeļlatgales biznesa  un tūrisma centrs</t>
  </si>
  <si>
    <t>Biznesa ideju konkurss</t>
  </si>
  <si>
    <t>05.000</t>
  </si>
  <si>
    <t>Vides aizsardzība</t>
  </si>
  <si>
    <t>06.000</t>
  </si>
  <si>
    <t>Pašvaldības teritoriju un mājokļu apsaimniekošana</t>
  </si>
  <si>
    <t>Ielu apgaismojums</t>
  </si>
  <si>
    <t xml:space="preserve">Pārējā citur neklasificētā teritoriju un mājokļu apsaimniekošanas darbība </t>
  </si>
  <si>
    <t>Bērzkalnes pagasta komunālā saimniecība</t>
  </si>
  <si>
    <t>P/A "SAN-TEX"</t>
  </si>
  <si>
    <t>07.000</t>
  </si>
  <si>
    <t>Veselība</t>
  </si>
  <si>
    <t>Briežuciema feldšeru veselības punkts</t>
  </si>
  <si>
    <t>Krišjāņu feldšeru veselības punkts</t>
  </si>
  <si>
    <t>Kubulu feldšeru veselības punkts</t>
  </si>
  <si>
    <t>Lazdulejas feldšeru veselības punkts</t>
  </si>
  <si>
    <t>Skujetnieku feldšeru veselības punkts</t>
  </si>
  <si>
    <t>Upītes feldšeru-vecmāšu punkts</t>
  </si>
  <si>
    <t>Vectilžas feldšeru veselības punkts</t>
  </si>
  <si>
    <t>Vīksnas feldšeru veselības punkts</t>
  </si>
  <si>
    <t>Zobārstniecības kabinets (Rugāji)</t>
  </si>
  <si>
    <t>08.000</t>
  </si>
  <si>
    <t>Atpūtas un sporta pasākumi</t>
  </si>
  <si>
    <t>Kultūra</t>
  </si>
  <si>
    <t>Bibliotēkas</t>
  </si>
  <si>
    <t>Muzeji</t>
  </si>
  <si>
    <t>Balvu novada muzejs</t>
  </si>
  <si>
    <t>Kultūras nami</t>
  </si>
  <si>
    <t>Briežuciema pagasta Tautas nams</t>
  </si>
  <si>
    <t>Lazdulejas saieta nams</t>
  </si>
  <si>
    <t>Nemateriālās kultūras mantojuma centrs "Upīte"</t>
  </si>
  <si>
    <t>Balvu kultūras un atpūtas centra pasākumi</t>
  </si>
  <si>
    <t>08.600</t>
  </si>
  <si>
    <t>Pārējā citur neklasificētā kultūra</t>
  </si>
  <si>
    <t>09.000</t>
  </si>
  <si>
    <t>Izglītība</t>
  </si>
  <si>
    <t>Pirmsskolas izglītība</t>
  </si>
  <si>
    <t>Pamatizglītība, vispārējā un profesionālā izglītība</t>
  </si>
  <si>
    <t>Pamatskola</t>
  </si>
  <si>
    <t>Eglaines pamatkola</t>
  </si>
  <si>
    <t>Bērzpils pamatskolas Krišjāņu pirmsskolas grupa</t>
  </si>
  <si>
    <t>Vidusskolas</t>
  </si>
  <si>
    <t>Balvu profesionālā un vispāizglītojošā vidusskola</t>
  </si>
  <si>
    <t>Interešu un profesionālās ievirzes izglītība</t>
  </si>
  <si>
    <t>Peldbaseins</t>
  </si>
  <si>
    <t>Balvu Bērnu un jauniešu centrs</t>
  </si>
  <si>
    <t>Pārējā izglītības vadība</t>
  </si>
  <si>
    <t>Pārējie citur neklasificētie izglītības pakalpojumi</t>
  </si>
  <si>
    <t>10.000</t>
  </si>
  <si>
    <t>Sociālā aizsardzība</t>
  </si>
  <si>
    <t>Pārējais citur neklasificēts atbalsts sociāli atstumtām personām</t>
  </si>
  <si>
    <t>Dotācijas biedrībām aktivitāšu atbalstam</t>
  </si>
  <si>
    <t>Asistenta pakalpojumi personām ar invaliditāti</t>
  </si>
  <si>
    <t>Domes priekšsēdētājs                                                                                               S.Maksimovs</t>
  </si>
  <si>
    <t>Rugāju komunālā saimniecība - notekūdeņu apsaimniekošana</t>
  </si>
  <si>
    <t>Baltinavas komunālā saimniecība - notekūdeņu apsaimniekošana</t>
  </si>
  <si>
    <t>Lazdukalna komunālā saimniecība - notekūdeņu apsaimniekošana</t>
  </si>
  <si>
    <t>Kupravas pagasta komunālā saimniecība</t>
  </si>
  <si>
    <t>Medņevas pagasta komunālā saimniecība</t>
  </si>
  <si>
    <t>Šķilbēnu pagasta komunālā saimniecība</t>
  </si>
  <si>
    <t>Vecumu pagasta teritorijas apsaimniekošana</t>
  </si>
  <si>
    <t>Rekavas komunālā saimniecība - apkure</t>
  </si>
  <si>
    <t>Žīguru komunālā saimniecība - ūdens</t>
  </si>
  <si>
    <t>2.pielikums</t>
  </si>
  <si>
    <t>Ieņēmumi</t>
  </si>
  <si>
    <t>Ieņēmumu veidi</t>
  </si>
  <si>
    <t>KOPĀ (EUR)</t>
  </si>
  <si>
    <t>Vispārējie pamatbudžeta ieņēmumi (EUR)</t>
  </si>
  <si>
    <t>Maksas pakalpojumi un pašu ieņēmumi (EUR)</t>
  </si>
  <si>
    <t>Valsts mērķdotācijas (EUR)</t>
  </si>
  <si>
    <t>I</t>
  </si>
  <si>
    <t>IEŅĒMUMI KOPĀ</t>
  </si>
  <si>
    <t>Nodokļu ieņēmumi</t>
  </si>
  <si>
    <t>1.0.0.0.</t>
  </si>
  <si>
    <t>IENĀKUMA NODOKĻI</t>
  </si>
  <si>
    <t>1.1.1.0</t>
  </si>
  <si>
    <t>Iedzīvotāju ienākuma nodoklis</t>
  </si>
  <si>
    <t>1.1.1.2</t>
  </si>
  <si>
    <t>4.0.0.0.</t>
  </si>
  <si>
    <t>ĪPAŠUMA NODOKĻI</t>
  </si>
  <si>
    <t>4.1.0.0</t>
  </si>
  <si>
    <t>Nekustamā īpašuma nodoklis</t>
  </si>
  <si>
    <t>4.1.1.0</t>
  </si>
  <si>
    <t>Nekustamā īpašuma nodoklis par zemi</t>
  </si>
  <si>
    <t>4.1.1.1</t>
  </si>
  <si>
    <t>Nekustamā īpašuma nodokļa par zemi kārtējā saimnieciskā gada ieņēmumi</t>
  </si>
  <si>
    <t>4.1.1.2</t>
  </si>
  <si>
    <t>Nekustamā īpašuma nodoklis par zemi-iepriekšējo gadu parādi</t>
  </si>
  <si>
    <t>4.1.2.0</t>
  </si>
  <si>
    <t>Nekustamā īpašuma nodokļi par ēkām</t>
  </si>
  <si>
    <t>4.1.2.1</t>
  </si>
  <si>
    <t>Nekustamā īpašuma nodoklis par ēkām kārtējā  gada maksājumi</t>
  </si>
  <si>
    <t>t.sk. par inženierbūvēm</t>
  </si>
  <si>
    <t>4.1.2.2</t>
  </si>
  <si>
    <t>Nekustamā īpašuma nodoklis par ēkām-iepriekšējo gadu parādi</t>
  </si>
  <si>
    <t>4.1.3.0</t>
  </si>
  <si>
    <t>Nekustamā īpašuma nodokļi par mājokļiem</t>
  </si>
  <si>
    <t>4.1.3.1.</t>
  </si>
  <si>
    <t>Nekustamā īpašuma nodokļa par mājokļiem kārtējā saimnieciskā gada ieņēmumi</t>
  </si>
  <si>
    <t>4.1.3.2.</t>
  </si>
  <si>
    <t>Nekustamā īpašuma naodoklis par mājokļiem-iepriekšējo gadu parādi</t>
  </si>
  <si>
    <t>5.0.0.0.</t>
  </si>
  <si>
    <t xml:space="preserve">NODOKĻI PAR PAKALPOJUMIEM UN PRECĒM </t>
  </si>
  <si>
    <t>5.4.0.0.</t>
  </si>
  <si>
    <t>Nodokļi par atsevišķām precēm un pakalpojumu veidiem</t>
  </si>
  <si>
    <t>5.4.1.0</t>
  </si>
  <si>
    <t>Azartspēļu nodoklis</t>
  </si>
  <si>
    <t>5.5.0.0.</t>
  </si>
  <si>
    <t>Nodokļi un maksājumi par tiesībām lietot atsevišķas preces</t>
  </si>
  <si>
    <t>5.5.3.0.</t>
  </si>
  <si>
    <t>Dabas resursu nodoklis</t>
  </si>
  <si>
    <t>Nenodokļu ieņēmumi</t>
  </si>
  <si>
    <t>8.0.0.0.</t>
  </si>
  <si>
    <t>Ieņēmumi no uzņēmējdarbības un īpašuma</t>
  </si>
  <si>
    <t>8.6.0.0.</t>
  </si>
  <si>
    <t>Procentu ieņēmumi par depozītiem, kontu atlikumiem, valsts parāda vērtspapīriem un atlikto maksājumu</t>
  </si>
  <si>
    <t>9.0.0.0.</t>
  </si>
  <si>
    <t>VALSTS (PAŠVALDĪBU) NODEVAS UN KANCELEJAS NODEVAS</t>
  </si>
  <si>
    <t>9.4.0.0.</t>
  </si>
  <si>
    <t>Valsts nodevas, kuras ieskaita valsts budžetā</t>
  </si>
  <si>
    <t>9.4.2.0.</t>
  </si>
  <si>
    <t>Valsts nodeva par apliecinājumiem un citu funkciju pildīšanu bāriņtiesās</t>
  </si>
  <si>
    <t>9.4.5.0.</t>
  </si>
  <si>
    <t>Valsts nodeva par civilstāvokļa aktu reģistrēšanu, grozīšanu un papildināšanu</t>
  </si>
  <si>
    <t>9.4.9.0.</t>
  </si>
  <si>
    <t>Pārējās valsts nodevas, kuras ieskaita pašvaldību budžetos</t>
  </si>
  <si>
    <t>9.4.9.1.</t>
  </si>
  <si>
    <t>Nodeva par dzīves vietas deklarēšanu</t>
  </si>
  <si>
    <t>9.5.0.0.</t>
  </si>
  <si>
    <t>Pašvaldības nodevas</t>
  </si>
  <si>
    <t>9.5.1.2.</t>
  </si>
  <si>
    <t>Pašvaldības nodeva par izklaidējoša rakstura pasākumu sarīkošanu publiskās vietās</t>
  </si>
  <si>
    <t>9.5.1.4.</t>
  </si>
  <si>
    <t>Pašvaldības nodeva par tirdzniecību publiskās vietās</t>
  </si>
  <si>
    <t>9.5.1.7.</t>
  </si>
  <si>
    <t>Pašvaldības nodeva par reklāmas,afišu un sludinājumu izvietošanu publiskajās vietās</t>
  </si>
  <si>
    <t>9.5.2.1.</t>
  </si>
  <si>
    <t>Pašvaldības nodeva par būvatļaujas saņemšanu</t>
  </si>
  <si>
    <t>9.5.2.9.</t>
  </si>
  <si>
    <t>Pārējās nodevas, ko uzliek pašvaldības</t>
  </si>
  <si>
    <t>10.0.0.0.</t>
  </si>
  <si>
    <t>NAUDAS SODI UN SANKCIJAS</t>
  </si>
  <si>
    <t>10.1.4.0.</t>
  </si>
  <si>
    <t xml:space="preserve">Naudas sodi, ko uzliek pašvaldības </t>
  </si>
  <si>
    <t>10.1.4.1.</t>
  </si>
  <si>
    <t>Naudas sodi, ko uzliek pašvaldības administratīvo pārkāpumu komisija</t>
  </si>
  <si>
    <t>10.1.4.2.</t>
  </si>
  <si>
    <t>Naudas sodi, ko uzliek pašvaldības policija</t>
  </si>
  <si>
    <t>10.1.5.0.</t>
  </si>
  <si>
    <t>Naudas sodi, ko uzliek pašvaldību institūcijas  par pārkāpumiem ceļu satiksmē</t>
  </si>
  <si>
    <t>12.0.0.0.</t>
  </si>
  <si>
    <t>PĀRĒJIE NENODOKĻU IEŅĒMUMI</t>
  </si>
  <si>
    <t>12.3.9.9.</t>
  </si>
  <si>
    <t>Pārējie dažādi nenodokļu ieņēmumi, kas nav iepriekš klasificēti šajā klasifikācijā</t>
  </si>
  <si>
    <t>12.3.9.9.4</t>
  </si>
  <si>
    <t>Pārējie ieņēmumi</t>
  </si>
  <si>
    <t>Ziemeļlatgales sporta centrs (pasākumi)</t>
  </si>
  <si>
    <t>Latvijas darba devēju konfederācijas finansējums Balvu Profesionālajai un vispārizglītojošai vidusskolai</t>
  </si>
  <si>
    <t>13.0.0.0.</t>
  </si>
  <si>
    <t>IEŅĒMUMI NO VALSTS (PAŠVALDĪBAS) ĪPAŠUMA IZNOMĀŠANAS  PĀRDOŠANAS</t>
  </si>
  <si>
    <t>13.1.0.0.</t>
  </si>
  <si>
    <t>Ieņēmumi no ēku un būvju īpašuma pārdošanas</t>
  </si>
  <si>
    <t>13.2.0.0.</t>
  </si>
  <si>
    <t>Ieņēmumi no zemes, mežu īpašuma pārdošanas</t>
  </si>
  <si>
    <t>13.2.1.0.</t>
  </si>
  <si>
    <t>Ieņēmumi no zemes īpašuma pārdošanas</t>
  </si>
  <si>
    <t>13.2.2.0.</t>
  </si>
  <si>
    <t>Ieņēmumi no mežu īpašumu pārdošanas</t>
  </si>
  <si>
    <t>17.0.0.0.</t>
  </si>
  <si>
    <t>NO VALSTS BUDŽETA DAĻĒJI FINANSĒTO PUBLISKO PERSONU UN BUDŽETA NEFINANSĒTO IESTĀŽU TRANSFERTI</t>
  </si>
  <si>
    <t>Latgales plānošanas reģiona finansējums projektam "Deinstitucionalizācijas pasākumu īstenošana Latgales reģionā"</t>
  </si>
  <si>
    <t>17.2.0.0.</t>
  </si>
  <si>
    <t>Dienas aprūpes centrs un grupu dzīvokļi Viļaka</t>
  </si>
  <si>
    <t>18.0.0.0.</t>
  </si>
  <si>
    <t>VALSTS BUDŽETA TRANSFERTI</t>
  </si>
  <si>
    <t>18.6.2.0.</t>
  </si>
  <si>
    <t>Pašvaldības saņemtie valsts budžeta transferti noteiktam mērķim</t>
  </si>
  <si>
    <t>18.6.2.0.02</t>
  </si>
  <si>
    <t>Mērķdotācijas pašvaldību pamata un vispārējās izglītības iestāžu pedagogu darba samaksai un valsts sociālās apdrošināšanas obligātajām iemaksām</t>
  </si>
  <si>
    <t>Mērķdotācijas pašvaldību profesionālās pamatizglītības, arodizglītības un profesionālās vidējās izglītības programmu pedagogu darba samaksai un valsts sociālās apdrošināšanas obligātajām iemaksām</t>
  </si>
  <si>
    <t>Mērķdotācija interešu izglītības programmu pedagogu daļējai darba samaksai un valsts sociālās apdrošināšanas obligātajām iemaksām</t>
  </si>
  <si>
    <t>18.6.2.0.03</t>
  </si>
  <si>
    <t>Mērķdotācijas pašvaldības izglītības iestāžu piecgadīgo un sešgadīgo bērnu apmācības pedagogu darba samaksai un valsts soc.apdroš.obligātajām iemaksām</t>
  </si>
  <si>
    <t>18.6.2.0.04</t>
  </si>
  <si>
    <t>Mērķdotācija audžuģimenēm par bērna uzturnaudas palielināšanu</t>
  </si>
  <si>
    <t>18.6.2.0.05</t>
  </si>
  <si>
    <t>Valsts dotācija autoceļu (ielu) uzturēšanai</t>
  </si>
  <si>
    <t>18.6.2.0.06</t>
  </si>
  <si>
    <t>Valsts dotācija sporta skolai</t>
  </si>
  <si>
    <t>18.6.2.0.07</t>
  </si>
  <si>
    <t>Valsts dotācija mūzikas un mākslas skolām</t>
  </si>
  <si>
    <t>18.6.2.0.08</t>
  </si>
  <si>
    <t>Valsts dotācija 1.-4.klašu brīvpusdienu daļējai apmaksai</t>
  </si>
  <si>
    <t>18.6.2.0.13</t>
  </si>
  <si>
    <t>MD māksliniecisko kolektīvu vadītāju darba samaksai un valsts sociālās apdrošināšanas obligātajām iemaksām</t>
  </si>
  <si>
    <t>Lazdukalna Saieta nams</t>
  </si>
  <si>
    <t>Briežuciema tautas nams</t>
  </si>
  <si>
    <t>Vīksnas tautas nams</t>
  </si>
  <si>
    <t>Viļakas Kultūras nams</t>
  </si>
  <si>
    <t>Medņevas tautas nams</t>
  </si>
  <si>
    <t>Vectilžas sporta un atpūtas centrs</t>
  </si>
  <si>
    <t>18.6.2.0.14</t>
  </si>
  <si>
    <t>Valsts un pašvaldības vienotā klientu apkalpošanas centra uzturēšana</t>
  </si>
  <si>
    <t>Latvijas Skolas soma</t>
  </si>
  <si>
    <t>18.6.2.0.18.</t>
  </si>
  <si>
    <t>18.6.2.0.23</t>
  </si>
  <si>
    <t>Feldšerpunktu dotācija</t>
  </si>
  <si>
    <t>Briežuciema feldšeru punkts</t>
  </si>
  <si>
    <t>Krišjāņu feldšeru punkts</t>
  </si>
  <si>
    <t>Lazdulejas feldšeru punkts</t>
  </si>
  <si>
    <t>Vectilžas feldšeru punkts</t>
  </si>
  <si>
    <t>Vīksnas feldšeru punkts</t>
  </si>
  <si>
    <t>Kubulu feldšeru punkts</t>
  </si>
  <si>
    <t>Skujetnieku feldšeru punkts</t>
  </si>
  <si>
    <t>Upītes feldšeru punkts</t>
  </si>
  <si>
    <t>18.6.2.0.20</t>
  </si>
  <si>
    <t>LM finansējums asistenta pakalpojumiem personām ar invaliditāti</t>
  </si>
  <si>
    <t>18.6.2.0.30</t>
  </si>
  <si>
    <t>18.6.2.0.47</t>
  </si>
  <si>
    <t>18.6.2.0.54</t>
  </si>
  <si>
    <t>Valsts dotācija mājokļa pabalstam</t>
  </si>
  <si>
    <t>18.6.3.0.</t>
  </si>
  <si>
    <t>Pašvaldību no valsts budžeta iestādēm saņemtie transferti ES politiku instrumentu un pārējās ārvalstu finanšu palīdzības līdzfinansētajiem projektiem (pasākumiem)</t>
  </si>
  <si>
    <t>18.6.3.0.04</t>
  </si>
  <si>
    <t>Atbalsts izglītojāmo individuālo kompetenču attīstībai</t>
  </si>
  <si>
    <t>18.6.3.0.05</t>
  </si>
  <si>
    <t>18.6.3.0.15</t>
  </si>
  <si>
    <t>Atbalsts priekšlaicīgas mācību pārtraukšanas samazināšanai</t>
  </si>
  <si>
    <t>18.6.4.0.</t>
  </si>
  <si>
    <t>Pašvaldību budžetā saņemta dotācijas no pašvaldības finanšu izlīdzināšanas fonda</t>
  </si>
  <si>
    <t>Sociālās aprūpes centrs "Rugāji"</t>
  </si>
  <si>
    <t>Maksas pakalpojumi un citi pašu ieņēmumi</t>
  </si>
  <si>
    <t>21.3.0.0.</t>
  </si>
  <si>
    <t>Ieņēmumi no budžeta iestāžu sniegtajiem maksas pakalpojumiem un citi pašu ieņēmumi</t>
  </si>
  <si>
    <t>21.3.5.0.</t>
  </si>
  <si>
    <t>Maksa par izglītības pakalpojumiem</t>
  </si>
  <si>
    <t>21.3.5.1.</t>
  </si>
  <si>
    <t>Mācību maksa</t>
  </si>
  <si>
    <t>Balvu Mākslas skola</t>
  </si>
  <si>
    <t>Balvu Mūzikas skola</t>
  </si>
  <si>
    <t>Baltinavas Mūzikas un mākslas skola</t>
  </si>
  <si>
    <t>21.3.5.2.</t>
  </si>
  <si>
    <t>Ieņēmumi no vecāku maksām</t>
  </si>
  <si>
    <t>Medņevas PII "Pasaciņa"</t>
  </si>
  <si>
    <t>Viļakas PII "Namiņš"</t>
  </si>
  <si>
    <t>Baltinavas vidusskolas pirmsskolas izglītības grupas</t>
  </si>
  <si>
    <t>21.3.7.0.</t>
  </si>
  <si>
    <t>Ieņēmumi par dokumentu izsniegšanu un kancelejas pakalpojumiem</t>
  </si>
  <si>
    <t>21.3.7.9.</t>
  </si>
  <si>
    <t>Ieņēmumi par pārējo dokumentu izsniegšanu un pārējiem kancelejas pakalpojumiem</t>
  </si>
  <si>
    <t>21.3.8.0.</t>
  </si>
  <si>
    <t>Ieņēmumi par nomu un īri</t>
  </si>
  <si>
    <t>21.3.8.1.</t>
  </si>
  <si>
    <t>Ieņēmumi par telpu nomu (novads)</t>
  </si>
  <si>
    <t>Valsts un pašvaldības vienotā klientu apkalpošanas centrs</t>
  </si>
  <si>
    <t>Vīksnas pagasta Tautas nams</t>
  </si>
  <si>
    <t>21.3.8.3.</t>
  </si>
  <si>
    <t>Ieņēmumi no kustamā īpašuma iznomāšanas</t>
  </si>
  <si>
    <t>Viļakas pilsētas komunālā saimniecība-notekūdeņu apsaimniekošana</t>
  </si>
  <si>
    <t>Viļakas Mūzikas un mākslas skola</t>
  </si>
  <si>
    <t>21.3.8.4.</t>
  </si>
  <si>
    <t>Ieņēmumi par zemes nomu</t>
  </si>
  <si>
    <t>21.3.8.9.</t>
  </si>
  <si>
    <t>Pārējie ieņēmumi par nomu un īri</t>
  </si>
  <si>
    <t>Žīguru pārvaldes pašvaldības dzīvokļu uzturēšana</t>
  </si>
  <si>
    <t>21.3.9.0.</t>
  </si>
  <si>
    <t>Ieņēmumi par pārējiem budžeta iestāžu sniegtajiem maksas pakalpojumiem</t>
  </si>
  <si>
    <t>21.3.9.1.</t>
  </si>
  <si>
    <t>Maksa par personu uzturēšanos sociālās aprūpes iestādēs</t>
  </si>
  <si>
    <t>21.3.9.2.</t>
  </si>
  <si>
    <t>Ieņēmumi no pacientu iemaksām un sniegtajiem rehabilitācijas un ārstniecības pakalpojumiem</t>
  </si>
  <si>
    <t>Kubulu FVP</t>
  </si>
  <si>
    <t>Krišjāņu FVP</t>
  </si>
  <si>
    <t>Lazdulejas FVP</t>
  </si>
  <si>
    <t>Vectilžas FVP</t>
  </si>
  <si>
    <t>Vīksnas FVP</t>
  </si>
  <si>
    <t>21.3.9.3.</t>
  </si>
  <si>
    <t>Ieņēmumi par biļešu realizāciju</t>
  </si>
  <si>
    <t>Bērzpils pagasta Saieta nams</t>
  </si>
  <si>
    <t>Kubulu Kultūras nams</t>
  </si>
  <si>
    <t>Rugāju Tautas nams</t>
  </si>
  <si>
    <t>Nemateiālās kultūras mantojuma centrs "Upīte"</t>
  </si>
  <si>
    <t>21.3.9.4.</t>
  </si>
  <si>
    <t>Ieņēmumi par dzīvokļu un komunālajiem pakalpojumiem</t>
  </si>
  <si>
    <t>Balvu novada pašvaldība</t>
  </si>
  <si>
    <t>P/A SAN-TEX</t>
  </si>
  <si>
    <t>21.3.9.4.2.</t>
  </si>
  <si>
    <t>Ieņēmumi par komunālājiem pakalpojumiem</t>
  </si>
  <si>
    <t>Kupravas pagasta komunālā saimniecība-apkure</t>
  </si>
  <si>
    <t>Krišjāņu pagasta komunālā saimniecība-apkure</t>
  </si>
  <si>
    <t>Vecumu komunālā saimniecība-apkure</t>
  </si>
  <si>
    <t>Viļakas pilsētas komunālā saimniecība-apkure</t>
  </si>
  <si>
    <t>Žīguru pagasta komunālā saimniecība-apkure</t>
  </si>
  <si>
    <t>Balvu pagasta komunālā saimniecība-ūdens</t>
  </si>
  <si>
    <t>Baltinavas komunālā saimniecība-ūdens</t>
  </si>
  <si>
    <t>Bērzpils komunālā saimniecība-ūdens</t>
  </si>
  <si>
    <t>Krišjāņu pagasta komunālā saimniecība-ūdens</t>
  </si>
  <si>
    <t>Kubulu pagasta komunālā saimniecība-ūdens</t>
  </si>
  <si>
    <t>Kupravas pagasta komunālā saimniecība-ūdens</t>
  </si>
  <si>
    <t>Lazdukalna pagasts komunālā saimniecība-ūdens</t>
  </si>
  <si>
    <t>Rugāju pagasta komunālā saimniecība-ūdens</t>
  </si>
  <si>
    <t>Vecumu komunālā saimniecība-ūdens</t>
  </si>
  <si>
    <t>Žīguru pagasta komunālā saimniecība-ūdens</t>
  </si>
  <si>
    <t>Baltinavas pagasta komunālā saimniecība-notekūdeņu apsaimniekošana</t>
  </si>
  <si>
    <t>Bērzpils pagasta komunālā saimniecība-notekūdeņu apsaimniekošana</t>
  </si>
  <si>
    <t>Kubulu pagasta komunālā saimniecība-notekūdeņu apsaimniekošana</t>
  </si>
  <si>
    <t>Kupravas pagasta komunālā saimniecība-notekūdeņu apsaimniekošana</t>
  </si>
  <si>
    <t>Krišjāņu pagasta komunālā saimniecība-notekūdeņu apsaimniekošana</t>
  </si>
  <si>
    <t>Lazdukalna pagasta komunālā saimniecība-notekūdeņu apsaimniekošana</t>
  </si>
  <si>
    <t>Medņevas pagasta komunālā saimniecība-notekūdeņu apsaimniekošana</t>
  </si>
  <si>
    <t>Rekavas komunālā saimniecība - notekūdeņu apsaimniekošana</t>
  </si>
  <si>
    <t>Tilžas komunālā saimniecība - notekūdeņu apsaimniekošana</t>
  </si>
  <si>
    <t>Upītes komunālā saimniecība - notekūdeņu apsaimniekošana</t>
  </si>
  <si>
    <t>Vecumu komunālā saimniecība-notekūdeņu apsaimniekošana</t>
  </si>
  <si>
    <t>Rugāju pagasta komunālā saimniecība-notekūdeņu apsaimniekošana</t>
  </si>
  <si>
    <t>Žīguru pagasta komunālā saimniecība-notekūdeņu apsaimniekošana</t>
  </si>
  <si>
    <t>Viļakas pilsētas komunālā saimniecība-atkritumu apsaimniekošana</t>
  </si>
  <si>
    <t>21.3.9.4.3.</t>
  </si>
  <si>
    <t>Apsaimniekošanas maksa</t>
  </si>
  <si>
    <t xml:space="preserve">21.3.9.9. </t>
  </si>
  <si>
    <t>Citi ieņēmumi par maksas pakalpojumiem</t>
  </si>
  <si>
    <t>21.3.9.9.1.</t>
  </si>
  <si>
    <t>Ieņēmumi par skolēnu ēdināšanu</t>
  </si>
  <si>
    <t>21.3.9.9.2.</t>
  </si>
  <si>
    <t>Peldbaseina ieņēmumi</t>
  </si>
  <si>
    <t>21.3.9.9.4.</t>
  </si>
  <si>
    <t>Maksas pakalpojumi</t>
  </si>
  <si>
    <t>Pašvaldības policija (atskurbtuve)</t>
  </si>
  <si>
    <t>21.3.9.9.7.</t>
  </si>
  <si>
    <t>Ieņēmumi no darbinieku ēdināšanas</t>
  </si>
  <si>
    <t xml:space="preserve">Bērzkalnes PII </t>
  </si>
  <si>
    <t>21.4.0.0.</t>
  </si>
  <si>
    <t>Pārējie 2.3.0.0.0.grupā neklasificētie budžeta iestāžu ieņēmumi par budžeta iestāžu sniegtajiem maksas pakalpojumiem un citi pašu ieņēmumi</t>
  </si>
  <si>
    <t>21.4.2.9.</t>
  </si>
  <si>
    <t>Pārējie iepriekš neklasificētie īpašiem mērķiem noteiktie ieņēmumi</t>
  </si>
  <si>
    <t>21.4.9.0.</t>
  </si>
  <si>
    <t>Citi iepriekš neklasificētie pašu ieņēmumi</t>
  </si>
  <si>
    <t>1.pielikums</t>
  </si>
  <si>
    <t>Rādītāju nosaukumi</t>
  </si>
  <si>
    <t>Budžeta kategoriju kodi</t>
  </si>
  <si>
    <t>I IEŅĒMUMI - kopā</t>
  </si>
  <si>
    <t xml:space="preserve">  Ieņēmumi no iedzīvotāju ienākuma nodokļa</t>
  </si>
  <si>
    <t xml:space="preserve">  1.1.0.0.</t>
  </si>
  <si>
    <t xml:space="preserve">  Nekustamā īpašuma nodoklis</t>
  </si>
  <si>
    <t xml:space="preserve">  4.1.0.0.</t>
  </si>
  <si>
    <t>NODOKĻI PAR PAKALPOJUMIEM UN PRECĒM</t>
  </si>
  <si>
    <t xml:space="preserve">  Nodokļi un maksājumi par tiesībām lietot atsevišķas preces</t>
  </si>
  <si>
    <t xml:space="preserve">  5.5.0.0.</t>
  </si>
  <si>
    <t>IEŅĒMUMI NO UZŅĒMĒJDARBĪBAS UN ĪPAŠUMA</t>
  </si>
  <si>
    <t xml:space="preserve">  Valsts nodevas, kuras ieskaita pašvaldību budžetā</t>
  </si>
  <si>
    <t xml:space="preserve">  9.4.0.0.</t>
  </si>
  <si>
    <t xml:space="preserve">  Pašvaldību nodevas</t>
  </si>
  <si>
    <t xml:space="preserve">  9.5.0.0.</t>
  </si>
  <si>
    <t xml:space="preserve">  Naudas sodi</t>
  </si>
  <si>
    <t xml:space="preserve">  10.1.0.0.</t>
  </si>
  <si>
    <t xml:space="preserve">  Citi dažādi nenodokļu ieņēmumi</t>
  </si>
  <si>
    <t>12.3.0.0.</t>
  </si>
  <si>
    <t>Ieņēmumi no valsts (pašvaldību) īpašuma iznomāšanas, pārdošanas un no nodokļu pamatparāda kapitalizācijas</t>
  </si>
  <si>
    <t xml:space="preserve">  Ieņēmumi no ēku un būvju īpašuma pārdošanas</t>
  </si>
  <si>
    <t xml:space="preserve">  13.1.0.0.</t>
  </si>
  <si>
    <t xml:space="preserve">  Ieņēmumi no zemes, meža īpašuma pārdošanas</t>
  </si>
  <si>
    <t xml:space="preserve">  13.2.0.0.</t>
  </si>
  <si>
    <t>No valsts budžeta daļēji finansēto atvasināto publisko personu un budžeta nefinansēto iestāžu transferti</t>
  </si>
  <si>
    <t xml:space="preserve">  Pašvaldību saņemtie transferti no valsts budžeta daļēji finansētām atvasinātām publiskām personām un no budžeta nefinansētām iestādēm</t>
  </si>
  <si>
    <t xml:space="preserve">  17.2.0.0.</t>
  </si>
  <si>
    <t>Valsts budžeta transferti</t>
  </si>
  <si>
    <t xml:space="preserve">  Pašvaldību saņemtie transferti no valsts budžeta</t>
  </si>
  <si>
    <t>Budžeta iestāžu ieņēmumi</t>
  </si>
  <si>
    <t>21.0.0.0.</t>
  </si>
  <si>
    <t xml:space="preserve">  Ieņēmumi no budžeta iestāžu sniegtajiem maksas pakalpojumiem un citi pašu ieņēmumi</t>
  </si>
  <si>
    <t xml:space="preserve">  21.3.0.0.</t>
  </si>
  <si>
    <t xml:space="preserve">  Pārējie 21.3.0.0.grupā neklasificētie budžeta iestāžu ieņēmumi par budžeta iestāžu sniegtajiem maksas pakalpojumiem un citi pašu ieņēmumi</t>
  </si>
  <si>
    <t xml:space="preserve">  21.4.0.0.</t>
  </si>
  <si>
    <t>II IZDEVUMI - kopā</t>
  </si>
  <si>
    <t/>
  </si>
  <si>
    <t>Izdevumi atbilstoši funkcionālajām kategorijām</t>
  </si>
  <si>
    <t>Teritoriju un mājokļu apsaimniekošana</t>
  </si>
  <si>
    <t>Atpūta, kultūra un reliģija</t>
  </si>
  <si>
    <t>Izdevumi atbilstoši ekonomiskajām kategorijām</t>
  </si>
  <si>
    <t>Atlīdzība</t>
  </si>
  <si>
    <t>1000</t>
  </si>
  <si>
    <t>2000</t>
  </si>
  <si>
    <t>3000</t>
  </si>
  <si>
    <t>Procentu izdevumi</t>
  </si>
  <si>
    <t>4000</t>
  </si>
  <si>
    <t>5000</t>
  </si>
  <si>
    <t>6000</t>
  </si>
  <si>
    <t>Transferti, uzturēšanas izdevumu transferti, pašu resursu maksājumi, starptautiskā sadarbība</t>
  </si>
  <si>
    <t>7000</t>
  </si>
  <si>
    <t>III Ieņēmumu pārsniegums (+) deficīts (-) (I-II)</t>
  </si>
  <si>
    <t>IV FINANSĒŠANA - kopā</t>
  </si>
  <si>
    <t>Naudas līdzekļi un noguldījumi</t>
  </si>
  <si>
    <t>F20010000</t>
  </si>
  <si>
    <t xml:space="preserve">  Naudas līdzekļi</t>
  </si>
  <si>
    <t xml:space="preserve">  F21010000</t>
  </si>
  <si>
    <t xml:space="preserve">  Pieprasījuma noguldījumi</t>
  </si>
  <si>
    <t xml:space="preserve">  F22010000</t>
  </si>
  <si>
    <t xml:space="preserve">    Pieprasījuma noguldījumu atlikums gada sākumā</t>
  </si>
  <si>
    <t xml:space="preserve">    F22010000 AS</t>
  </si>
  <si>
    <t xml:space="preserve">    Pieprasījuma noguldījumu atlikums perioda beigās</t>
  </si>
  <si>
    <t>F40020000</t>
  </si>
  <si>
    <t xml:space="preserve">  Saņemtie aizņēmumi</t>
  </si>
  <si>
    <t xml:space="preserve">  Saņemto aizņēmumu atmaksa</t>
  </si>
  <si>
    <t xml:space="preserve">  F40020020</t>
  </si>
  <si>
    <t>Valsts dotācija sociālās aprūpes centru iemītniekiem</t>
  </si>
  <si>
    <t>F40020010</t>
  </si>
  <si>
    <t>Atlikums             uz gada sākumu</t>
  </si>
  <si>
    <t>Izglītības  pārvalde - vasaras nometnes</t>
  </si>
  <si>
    <t>Ieņēmumi no kokmateriālu realizācijas</t>
  </si>
  <si>
    <t>Valsts dotācija Ukrainas civiliedzīvotāju izmitināšanas iespējām</t>
  </si>
  <si>
    <t>Ukrainas civiliedzīvotāju izmitināšanas iespējām</t>
  </si>
  <si>
    <t>Veļas mājas pakalpojumi iedzīvotājiem Baltinavā</t>
  </si>
  <si>
    <t>Lazdulējas Saieta nams</t>
  </si>
  <si>
    <t>Kubulu PII Ieviņa</t>
  </si>
  <si>
    <t>Atbalsts Ukrainas civiliedzīvotājiem un izmitināšanas iespējām</t>
  </si>
  <si>
    <t>Ieņēmumi par nedzīvojamā nekustamā īpašuma nomu</t>
  </si>
  <si>
    <t>PAŠVALDĪBU BUDŽETU TRANSFERTI</t>
  </si>
  <si>
    <t>19.0.0.0.</t>
  </si>
  <si>
    <t>19.2.0.0.01.</t>
  </si>
  <si>
    <t>Ieņēmumi izglītības funkciju nodoršināšanai</t>
  </si>
  <si>
    <t>Pašvaldību budžetu transferti</t>
  </si>
  <si>
    <t>19.0.0.0</t>
  </si>
  <si>
    <t>Pašvaldību saņemtie transferti no citām pašvaldībām</t>
  </si>
  <si>
    <t>19.2.0.0.</t>
  </si>
  <si>
    <t>Balvu sporta skola trenažieru zāles izmantošanu</t>
  </si>
  <si>
    <t>Tilžas pamatskolas Tilžas pirmsskolas grupa</t>
  </si>
  <si>
    <t>Tilžas pamatskolas Vectilžas pirmsskolas grupa</t>
  </si>
  <si>
    <t>Balvu sporta skola pilsētas stadiona maksas pakalpojumu ieņēmumi</t>
  </si>
  <si>
    <t>Rekavas vidusskola pirmsskolas grupas</t>
  </si>
  <si>
    <t>Viduču pamatskola Žīguros pirmsskolas grupas</t>
  </si>
  <si>
    <t>Balvu Profesionālā un vispārizglītojošā vidusskolas tālākizglītības centrs</t>
  </si>
  <si>
    <t>Bērzkalnes komunālā saimniecība-ūdens</t>
  </si>
  <si>
    <t>Briežuciema komunālā saimniecība-ūdens</t>
  </si>
  <si>
    <t>Lazdulejas pagasts komunālā saimniecība-ūdens</t>
  </si>
  <si>
    <t>Vectilžas komunālā saimniecība - ūdens</t>
  </si>
  <si>
    <t>Vīksnas pagasta komunālā saimniecība-ūdens</t>
  </si>
  <si>
    <t>Bērzkalnes pagasta komunālā saimniecība-notekūdeņu apsaimniekošana</t>
  </si>
  <si>
    <t>Briežuciema pagasta komunālā saimniecība-notekūdeņu apsaimniekošana</t>
  </si>
  <si>
    <t>Lazdulejas pagasta komunālā saimniecība-notekūdeņu apsaimniekošana</t>
  </si>
  <si>
    <t>Vīksnas komunālā saimniecība - notekūdeņu apsaimniekošana</t>
  </si>
  <si>
    <t>Balvu profesionālā un vispāizglītojošā vidusskolas tālākizglītības centrs</t>
  </si>
  <si>
    <t>Bērzkalnes komunālā saimniecība - ūdens</t>
  </si>
  <si>
    <t>Briežuciema komunālā saimniecība - ūdens</t>
  </si>
  <si>
    <t>Lazdulejas komunālā saimniecība - ūdens</t>
  </si>
  <si>
    <t>Bērzkalnes komunālā saimniecība - notekūdeņu apsaimniekošana</t>
  </si>
  <si>
    <t>Briežuciema komunālā saimniecība - notekūdeņu apsaimniekošana</t>
  </si>
  <si>
    <t>Lazdulejas komunālā saimniecība - notekūdeņu apsaimniekošana</t>
  </si>
  <si>
    <t>Vīksnas komunālā saimniecība-notekūdenu apsaimniekošana</t>
  </si>
  <si>
    <t>Briežuciema komunālā saimniecība -notekūdeņu apsaimniekošana</t>
  </si>
  <si>
    <t>Vīksnas komunālā saimniecība -notekūdeņu apsaimniekošana</t>
  </si>
  <si>
    <t>Vīksnas komunālā saimniecība - ūdens</t>
  </si>
  <si>
    <t>Bērzkalnes komunālā saimniecība -notekūdeņu apsaimniekošana</t>
  </si>
  <si>
    <t>Tilžas pamatskolas Tilžas pirmsskolas grupas</t>
  </si>
  <si>
    <t>Tilžas pamatskolas Vectilžas pirmsskolas grupas</t>
  </si>
  <si>
    <t>Autoceļu (ielu) uzturēšanas līdzekļu rezerves fonds</t>
  </si>
  <si>
    <t>Balvu pilsētas stadiona rekonstrukcija</t>
  </si>
  <si>
    <t>Baltinavas pagasta teritorijas apsaimniekošana</t>
  </si>
  <si>
    <t>Izdevumi periodikas iegādei bibliotēku krājumiem</t>
  </si>
  <si>
    <t>Skolēnu pārvadāšana Susāju pārvalde</t>
  </si>
  <si>
    <t>Atalgojums</t>
  </si>
  <si>
    <t>DDVSAOI</t>
  </si>
  <si>
    <t>Viļakas vidusskola</t>
  </si>
  <si>
    <t>Balvu novada pašvaldības pamatbudžets 2024.gadam ( EUR)</t>
  </si>
  <si>
    <t>Apstiprināts 2024. gadam (EUR)</t>
  </si>
  <si>
    <t>Tehniskā aprīkojuma iegāde virssemes ūdeņu kvalitātes uzlabošanai</t>
  </si>
  <si>
    <t>Līdzfinansējums"Dabas lieguma Stompaku purvi" dabas aizsardzības plāna  aktualizēšana</t>
  </si>
  <si>
    <t>18.6.4.1.</t>
  </si>
  <si>
    <t>Papildus valsts dotācija pašvaldībām ar zemiem ienākumiem</t>
  </si>
  <si>
    <t>Balvu Profesionālā un vispārizglītojošā vidusskola Vidzemes iela 26</t>
  </si>
  <si>
    <t>Pašvaldības līdzdalības budžets</t>
  </si>
  <si>
    <t>Balvu pilsētas labiekārtošana</t>
  </si>
  <si>
    <t>Tehniskā aprīkojuma iegāde virszemes ūdeņu kvalitātes uzlabošanai</t>
  </si>
  <si>
    <t>Dotācija no līdzekļiem neparedzētiem gadījumiem atskurbtuves uzturēšanai</t>
  </si>
  <si>
    <t>Erasmus + projekts Play, Learn, Act, Ensure Sustainable Development Viļakas vidusskola</t>
  </si>
  <si>
    <t>Eglaines pamatskolas pirmsskolas grupas</t>
  </si>
  <si>
    <t>Rugāju vidusskolas pirmsskolas grupas</t>
  </si>
  <si>
    <t>Lazdulejas komunālā saimniecība.</t>
  </si>
  <si>
    <t>Lazdukalna pagasta apgaismojuma un autoceļu (ielu) uzturēšana</t>
  </si>
  <si>
    <t>Rubeņu tautas nams</t>
  </si>
  <si>
    <t>21.3.9.7</t>
  </si>
  <si>
    <t>Budžeta iestādes saņemtā atlīdzība no apdrošināšanas sabiedrības par bojātu nekustamo īpašumu un kustamo mantu</t>
  </si>
  <si>
    <t>Namateriālās kultūras mantojuma centrs "Upīte"</t>
  </si>
  <si>
    <t>Viļakas  vidusskolas pirmsskolas grupa</t>
  </si>
  <si>
    <t>8 Starptaustiskais mākslas plenērs "Valdis Bušs 2024"</t>
  </si>
  <si>
    <t>Kubulu ciema ielu pārbūve</t>
  </si>
  <si>
    <t>"Par Balvu novada pašvaldības 2024.gada budžetu"</t>
  </si>
  <si>
    <t>Balvu novada pašvaldības 2024.gada  pamatbudžeta izdevumi atbilstoši ekonomiskajām kategorijām (EUR)</t>
  </si>
  <si>
    <t>Apstiprināts 2024.gadam (EUR)</t>
  </si>
  <si>
    <t>Balvu novada pašvaldības pamatbudžeta izdevumi 2024.gadam (EUR)</t>
  </si>
  <si>
    <t>Balvu novada pašvaldības pamatbudžeta ieņēmumi 2024.gadam (EUR)</t>
  </si>
  <si>
    <t>18.6.2.0.27</t>
  </si>
  <si>
    <t>Algotie sabiedriskie darbi</t>
  </si>
  <si>
    <t xml:space="preserve">ERASMUS+ projekts Nr. 2023-1-LV02-KA154-YOU-000127946  "Uzdrīksties redzēt plašāk" Rugāju vidusskola </t>
  </si>
  <si>
    <t xml:space="preserve">Pansionāts "Balvi" </t>
  </si>
  <si>
    <t>Projekts ERASMUS+ 
Nr. 2023-1-LV01-KA121-SCH-000125225 Rugāju vidusskola</t>
  </si>
  <si>
    <t>Projekts ERASMUS+
Nr. 2023-1-LV01-KA121-SCH-000125225 Rugāju vidusskola</t>
  </si>
  <si>
    <t>ERASMUS+ projekts Rugāju vidusskola Nr. 2023-1-LV01-KA121-SCH-000125225</t>
  </si>
  <si>
    <t>Lazdukalna pagasta komunālā saimniecība-ūdens</t>
  </si>
  <si>
    <t xml:space="preserve">Tilžas pagasta komunālā saimniecība </t>
  </si>
  <si>
    <t xml:space="preserve">Baltinavas pagasta pārvalde </t>
  </si>
  <si>
    <t xml:space="preserve">Sporta pasākumi novadā </t>
  </si>
  <si>
    <t>Projekts "Militārais mantojums II"</t>
  </si>
  <si>
    <t>Projekts "Green Youth Emprower"</t>
  </si>
  <si>
    <t xml:space="preserve">Balvu Profesionālā un vispārizglītojošā vidusskola </t>
  </si>
  <si>
    <t xml:space="preserve">Vīksnas pagasta komunālā saimniecība </t>
  </si>
  <si>
    <t xml:space="preserve">Sporta skolas peldbaseins </t>
  </si>
  <si>
    <t xml:space="preserve">Balvu sākumskola </t>
  </si>
  <si>
    <t xml:space="preserve">Rekavas vidusskola </t>
  </si>
  <si>
    <t xml:space="preserve">Baltinavas Mūzikas un mākslas skola </t>
  </si>
  <si>
    <t xml:space="preserve">Šķilbēnu pagasta teritorijas apsaimniekošana </t>
  </si>
  <si>
    <t xml:space="preserve">Viļakas Mūzikas un mākslas skola </t>
  </si>
  <si>
    <t>Briežuciema komunālā saimniecība</t>
  </si>
  <si>
    <t xml:space="preserve">Balvu Kultūras un atpūtas centrs </t>
  </si>
  <si>
    <t xml:space="preserve">Baltinavas kultūras nams </t>
  </si>
  <si>
    <t xml:space="preserve">Balvu Novada muzejs </t>
  </si>
  <si>
    <t xml:space="preserve">P/A SAN-TEX </t>
  </si>
  <si>
    <t>Sociālās mājas</t>
  </si>
  <si>
    <t xml:space="preserve">Bērzpils pamatskola </t>
  </si>
  <si>
    <t>Balvu Profesionālā un vispārizglītojošā vidusskolas tālākizglītības centrs  Brīvības 47</t>
  </si>
  <si>
    <t xml:space="preserve">Bērzkalnes pagasta komunālā saimniecība </t>
  </si>
  <si>
    <t xml:space="preserve">Kupravas pagasta komunālā saimniecība </t>
  </si>
  <si>
    <t xml:space="preserve">Šķilbēnu pagasta komunālā saimniecība </t>
  </si>
  <si>
    <t xml:space="preserve">Vecumu komunālā saimniecība </t>
  </si>
  <si>
    <t xml:space="preserve">Sociālā pārvalde </t>
  </si>
  <si>
    <t xml:space="preserve">Balvu Centrālā bibliotēka </t>
  </si>
  <si>
    <t>Balvu kultūras un atpūtas centra kultūras pasākumi</t>
  </si>
  <si>
    <t xml:space="preserve">Kultūrvēsturiskā lauku sēta "Vēršukalns" </t>
  </si>
  <si>
    <t xml:space="preserve">Skolēnu pārvadāšana Susāju pagasta pārvalde </t>
  </si>
  <si>
    <t xml:space="preserve">Skolēnu pārvadāšana Šķilbēnu pagasta pārvalde </t>
  </si>
  <si>
    <t xml:space="preserve">Skolēnu pārvadāšana Viļakā </t>
  </si>
  <si>
    <t xml:space="preserve">Rugāju pagasta komunālā saimniecība </t>
  </si>
  <si>
    <t xml:space="preserve">Viļakas pilsētas labiekārtošana </t>
  </si>
  <si>
    <t xml:space="preserve">Balkanu Dabas parks </t>
  </si>
  <si>
    <t xml:space="preserve">Viļakas muzejs </t>
  </si>
  <si>
    <t xml:space="preserve">Baltinavas muzejs </t>
  </si>
  <si>
    <t xml:space="preserve">“Remigrācijas atbalsta pasākums – uzņēmējdarbības atbalsts” </t>
  </si>
  <si>
    <t>17.2.0.0</t>
  </si>
  <si>
    <t>Vēlēšanu komisija</t>
  </si>
  <si>
    <t>Līdzfinansējums "Dabas lieguma Stompaku purvi" dabas aizsardzības plāna  aktualizēšana</t>
  </si>
  <si>
    <t xml:space="preserve">Projekts “Remigrācijas atbalsta pasākums – uzņēmējdarbības atbalsts” </t>
  </si>
  <si>
    <t>Vēlēšanu komisijas finansējums balsu skaitīšanai</t>
  </si>
  <si>
    <t>18.6.2.0.28</t>
  </si>
  <si>
    <t>Centrālā bibliotēka saņemtās valsts dotācijas</t>
  </si>
  <si>
    <t>Domes priekšsēdētājs                                                                        S.Maksimovs</t>
  </si>
  <si>
    <t>Domes priekšsēdētājs                                                                                                    S.Maksimovs</t>
  </si>
  <si>
    <t>Sociāli pakalpojumi</t>
  </si>
  <si>
    <t>21.0.0.0</t>
  </si>
  <si>
    <t>21.1.0.0</t>
  </si>
  <si>
    <t>Iestādes ieņēmumi no ārvalstu finanšu palīdzības</t>
  </si>
  <si>
    <t>21.1.9.0</t>
  </si>
  <si>
    <t>Ieņēmumi no citu Eiropas Savienības politiku instrumentu līdzfinansēto projektu un pasākumu īstenošanas un citu valstu finanšu palīdzības programmu īstenošanas, saņemtā ārvalstu finanšu palīdzība</t>
  </si>
  <si>
    <t>21.1.0.0.</t>
  </si>
  <si>
    <t>Latvijas neredzīgo biedrība</t>
  </si>
  <si>
    <t>Balvu novada domes</t>
  </si>
  <si>
    <t>2024.gada 25.janvāra saistošajiem noteikumiem Nr.1/2024</t>
  </si>
  <si>
    <t>Daudzfunkcionālais  sociālo pakalpojumu centrs</t>
  </si>
  <si>
    <t>Rekavas  komunālā saimniecība notekūdeņi</t>
  </si>
  <si>
    <t>Grozījumi</t>
  </si>
  <si>
    <t>Apstiprināts ar grozījumiem 2024.gadam (EUR)</t>
  </si>
  <si>
    <t>Grozījumi 2024.gada 25.janvāra saistošajiem noteikumiem Nr.1/2024</t>
  </si>
  <si>
    <t>8.3.0.0</t>
  </si>
  <si>
    <t>Ieņēmumi no dividendēm(ieņēmumi no valsts  (pašvaldību) kapitāla izmantošanas</t>
  </si>
  <si>
    <t>Pavisam (EUR)</t>
  </si>
  <si>
    <t>Ieņēmumi no dividendēm (ieņēmumi no valsts  (pašvaldību) kapitāla izmantošanas)</t>
  </si>
  <si>
    <t>18/6/2/0/12</t>
  </si>
  <si>
    <t>Valsts dotācija macību līdzekļu un mācību literatūras iegādei</t>
  </si>
  <si>
    <t>Projekts Starptautiskais amatierteātru klasiskās dramaturģijas festivāls ,,Ķiršu dārzs 2024"</t>
  </si>
  <si>
    <t>Projekts VI starptautiskais tautu deju festivāls "Eima, eima"</t>
  </si>
  <si>
    <t>21.4.9.9.3</t>
  </si>
  <si>
    <t>Dažādi ieņmumi</t>
  </si>
  <si>
    <t>Projekts"IX Latgales stāstnieku festivāls "Omotu stosti""</t>
  </si>
  <si>
    <t>Projekts "Lasītāji satiek rakstniekus 2024"</t>
  </si>
  <si>
    <t>Projekts "XXV Balvu kamermūzikas festivāls"</t>
  </si>
  <si>
    <t>Projekts "Viļakas viduslaiku pilsdrupu konversācijas plāna  detalizēta izstrāde</t>
  </si>
  <si>
    <t>"Projekts "Ekspozīcijas "Viļakas aokārtne vēstures līkločos"noslēguma posma realizācija</t>
  </si>
  <si>
    <t>Projekts "Plecu pie pleca"</t>
  </si>
  <si>
    <t>18.6.2.0.17</t>
  </si>
  <si>
    <t>KKF projekti</t>
  </si>
  <si>
    <t>Projekts "Grāmatniecība, lasišanas paradumi un to kultivēšana Ziemeļlatgalē"</t>
  </si>
  <si>
    <t>18.6.2.0.15</t>
  </si>
  <si>
    <t>Jaunatnes starptautisko programmu aģentūra-projekti</t>
  </si>
  <si>
    <t>18.6.2.0.10</t>
  </si>
  <si>
    <t>Erasmus+ Projekts 2024-1-LV01-KA121-SCH-000209869</t>
  </si>
  <si>
    <t xml:space="preserve"> JSPA Projekts  Nr.2024-1-LV02-KA154-YOU-000237997- "Dots devējam atdodas"</t>
  </si>
  <si>
    <t>JSPA Projekts  Nr.2024-1-LV02-KA154-YOU-000237997- "Dots devējam atdodas"</t>
  </si>
  <si>
    <t>Krišjāņu tautas nams</t>
  </si>
  <si>
    <t>NVA Skolēnu nodarbinātība vasarā</t>
  </si>
  <si>
    <t>Skolēnu nodarbinātība vasarā</t>
  </si>
  <si>
    <t>Valsts dotācija asistentu pakalpojumu nodrošināšanai</t>
  </si>
  <si>
    <t>Izglītības jomas biedrību atbalsts</t>
  </si>
  <si>
    <t>Projekts"Amatu prasmes tūrisma telpā"</t>
  </si>
  <si>
    <t>Valsts dotācijas Ukrainas bērnu apmācībai</t>
  </si>
  <si>
    <t xml:space="preserve">    F22010000</t>
  </si>
  <si>
    <t>Nemateriālās kultūras mantojuma centrs "Upīte" - bibliotēka</t>
  </si>
  <si>
    <t>Nemateriālās kultūras mantojuma centrs "Upīte" - muzejs</t>
  </si>
  <si>
    <t>Projekts "Amatu prasmes tūrisma telpā"</t>
  </si>
  <si>
    <t>Valsts dotācija Balvu Valsts ģinmāzijai</t>
  </si>
  <si>
    <t>Projekts Uzņēmējdarbības atbalsta pasākumi Latgales plānošanas reģionā</t>
  </si>
  <si>
    <t>Projekts Publisko pakalpojumu cilvēkiem ar invaliditāti mājokļu vides pieejamības nodrošināšanā Balvu novadā</t>
  </si>
  <si>
    <t>Publisko pakalpojumu cilvēkiem ar invaliditāti mājokļu vides pieejamības nodrošināšanā Balvu novadā</t>
  </si>
  <si>
    <t>18.6.3.0.13</t>
  </si>
  <si>
    <t xml:space="preserve">Projekts JSPA projekts Balvu novada jauniešu domes izveide" </t>
  </si>
  <si>
    <t>JSPA projekts Balvu novada jauniešu domes izveide" </t>
  </si>
  <si>
    <t>Ielu apgaismojums Balvos</t>
  </si>
  <si>
    <t>ERASMUS+ Projekts Balvu Profesionālās un vispārizglītojošās vidusskolas PandemiArt</t>
  </si>
  <si>
    <t>Balvu Bērnu un jauniešu centra ERASMUS+ projekts Demokrātijas formula</t>
  </si>
  <si>
    <t>19.2.0.0.06</t>
  </si>
  <si>
    <t>Transfērti no citām pašvaldībām projektiem</t>
  </si>
  <si>
    <t>Projekts RoboNet LLI-542, IT programmēšanas un robotikas kompetenču attīstība</t>
  </si>
  <si>
    <t>Bērzpils pamatskolas ERASMUS+ projekts</t>
  </si>
  <si>
    <t>18.6.3.0.09</t>
  </si>
  <si>
    <t>Valsts dotācijas latviešu valodas apguvei Ukrainas bērniem un jauniešiem</t>
  </si>
  <si>
    <t>Balvu valsts ģimnāzijas projekts "Nord Plus"</t>
  </si>
  <si>
    <t>Grozījumi (EUR)</t>
  </si>
  <si>
    <t>Grozījumi  (EUR)</t>
  </si>
  <si>
    <t xml:space="preserve"> Balvu Valsts ģimnāzijas projekts "Eco Quest:Exploring Sustainable Living in Every Step"</t>
  </si>
  <si>
    <t>Projekts Promote the green tourismroutes of Riga, Vidzeme and Latgale regions (Greenways of Latvia)</t>
  </si>
  <si>
    <t>18.6.3.0.11</t>
  </si>
  <si>
    <t>Balvu profesionālās un vispārizglītojošās  vidusskolas Erasmus+ īstermiņa mobilitātes projekts izglītojamajiem un personālam profesionālās izglītības un apmācību jomā(KA122-VET)</t>
  </si>
  <si>
    <t xml:space="preserve">  18.6.2.0.</t>
  </si>
  <si>
    <t>Latvijas olimpiskās komitejas finansējums Tilžas pamatskolai</t>
  </si>
  <si>
    <t>LR VARAM  pārrobežu projekti.Projekts Promote the green tourismroutes of Riga, Vidzeme and Latgale regions (Greenways of Latvia)</t>
  </si>
  <si>
    <t>Kultūras mantojuma pārvaldesfinansējumsBēržu kapličas remontam</t>
  </si>
  <si>
    <t>Latvijas basketbola savienība Balvu Sporta skolai</t>
  </si>
  <si>
    <t>Balvu Valsts ģimnāzijas Nord Plus projekts "Our Baltic Sea"</t>
  </si>
  <si>
    <t>ERASMUS+ Projekts Viļakas vidusskola "SEED"</t>
  </si>
  <si>
    <t>ERASMUS+ Projekts Viļakas vidusskola  "SEED"</t>
  </si>
  <si>
    <t>Baltinavas apvienības pārvalde</t>
  </si>
  <si>
    <t>Rugāju  apvienības pārvalde</t>
  </si>
  <si>
    <t>Rugāju apvienības pārvalde</t>
  </si>
  <si>
    <t>Viļakas apvienības pārvalde</t>
  </si>
  <si>
    <t>Balvu apvienības pārvalde</t>
  </si>
  <si>
    <t>"Grozījumi 2024.gada 25.janvāra saistošajiem noteikumiem Nr.1/2024</t>
  </si>
  <si>
    <t>Centrālās finanšu līgumu aģentūras finansējums projektu noslēguma maksājumi</t>
  </si>
  <si>
    <t>2024.gada 19.decembra saistošajiem noteikumiem Nr.22/2024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</si>
</sst>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-* #,##0\ &quot;€&quot;_-;\-* #,##0\ &quot;€&quot;_-;_-* &quot;-&quot;\ &quot;€&quot;_-;_-@_-"/>
    <numFmt numFmtId="43" formatCode="_-* #,##0.00_-;\-* #,##0.00_-;_-* &quot;-&quot;??_-;_-@_-"/>
  </numFmts>
  <fonts count="37">
    <font>
      <sz val="11"/>
      <color theme="1"/>
      <name val="Calibri"/>
      <family val="2"/>
      <charset val="186"/>
      <scheme val="minor"/>
    </font>
    <font>
      <sz val="10"/>
      <color theme="1"/>
      <name val="Arial"/>
      <family val="2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sz val="12"/>
      <color rgb="FFFF0000"/>
      <name val="Times New Roman"/>
      <family val="1"/>
      <charset val="186"/>
    </font>
    <font>
      <sz val="12"/>
      <color rgb="FFFF0000"/>
      <name val="Times New Roman"/>
      <family val="1"/>
      <charset val="186"/>
    </font>
    <font>
      <b/>
      <sz val="14"/>
      <color theme="1"/>
      <name val="Times New Roman"/>
      <family val="1"/>
      <charset val="186"/>
    </font>
    <font>
      <b/>
      <sz val="11"/>
      <name val="Times New Roman"/>
      <family val="1"/>
      <charset val="186"/>
    </font>
    <font>
      <sz val="11"/>
      <name val="Times New Roman"/>
      <family val="1"/>
      <charset val="186"/>
    </font>
    <font>
      <sz val="12"/>
      <name val="Times New Roman"/>
      <family val="1"/>
      <charset val="186"/>
    </font>
    <font>
      <sz val="12"/>
      <color theme="1"/>
      <name val="Calibri"/>
      <family val="2"/>
      <charset val="186"/>
      <scheme val="minor"/>
    </font>
    <font>
      <b/>
      <sz val="12"/>
      <name val="Times New Roman"/>
      <family val="1"/>
      <charset val="186"/>
    </font>
    <font>
      <b/>
      <sz val="12"/>
      <color indexed="8"/>
      <name val="Times New Roman"/>
      <family val="1"/>
      <charset val="186"/>
    </font>
    <font>
      <sz val="12"/>
      <color indexed="8"/>
      <name val="Times New Roman"/>
      <family val="1"/>
      <charset val="186"/>
    </font>
    <font>
      <b/>
      <u val="single"/>
      <sz val="12"/>
      <color indexed="8"/>
      <name val="Times New Roman"/>
      <family val="1"/>
      <charset val="186"/>
    </font>
    <font>
      <b/>
      <sz val="12"/>
      <color rgb="FF7030A0"/>
      <name val="Times New Roman"/>
      <family val="1"/>
      <charset val="186"/>
    </font>
    <font>
      <b/>
      <sz val="12"/>
      <color indexed="10"/>
      <name val="Times New Roman"/>
      <family val="1"/>
      <charset val="186"/>
    </font>
    <font>
      <b/>
      <sz val="11"/>
      <name val="Calibri"/>
      <family val="2"/>
      <charset val="186"/>
      <scheme val="minor"/>
    </font>
    <font>
      <i/>
      <sz val="12"/>
      <name val="Times New Roman"/>
      <family val="1"/>
      <charset val="186"/>
    </font>
    <font>
      <sz val="11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sz val="13"/>
      <name val="Times New Roman"/>
      <family val="1"/>
      <charset val="186"/>
    </font>
    <font>
      <sz val="13"/>
      <name val="Calibri"/>
      <family val="2"/>
      <charset val="186"/>
      <scheme val="minor"/>
    </font>
    <font>
      <sz val="12"/>
      <name val="Calibri"/>
      <family val="2"/>
      <charset val="186"/>
      <scheme val="minor"/>
    </font>
    <font>
      <b/>
      <sz val="14"/>
      <name val="Times New Roman"/>
      <family val="1"/>
      <charset val="186"/>
    </font>
    <font>
      <i/>
      <sz val="11"/>
      <name val="Calibri"/>
      <family val="2"/>
      <charset val="186"/>
      <scheme val="minor"/>
    </font>
    <font>
      <b/>
      <sz val="16"/>
      <name val="Times New Roman"/>
      <family val="1"/>
      <charset val="186"/>
    </font>
    <font>
      <sz val="14"/>
      <name val="Times New Roman"/>
      <family val="1"/>
      <charset val="186"/>
    </font>
    <font>
      <b/>
      <sz val="11"/>
      <color theme="1"/>
      <name val="Calibri"/>
      <family val="2"/>
      <charset val="186"/>
      <scheme val="minor"/>
    </font>
    <font>
      <sz val="12"/>
      <color rgb="FF00B0F0"/>
      <name val="Times New Roman"/>
      <family val="1"/>
      <charset val="186"/>
    </font>
    <font>
      <i/>
      <sz val="12"/>
      <color theme="1"/>
      <name val="Times New Roman"/>
      <family val="1"/>
      <charset val="186"/>
    </font>
    <font>
      <b/>
      <i/>
      <sz val="12"/>
      <name val="Times New Roman"/>
      <family val="1"/>
      <charset val="186"/>
    </font>
    <font>
      <b/>
      <i/>
      <sz val="12"/>
      <color theme="1"/>
      <name val="Times New Roman"/>
      <family val="1"/>
      <charset val="186"/>
    </font>
    <font>
      <b/>
      <i/>
      <sz val="12"/>
      <color rgb="FF000000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b/>
      <i/>
      <sz val="11"/>
      <color theme="1"/>
      <name val="Calibri"/>
      <family val="2"/>
      <charset val="186"/>
      <scheme val="minor"/>
    </font>
    <font>
      <sz val="11"/>
      <color rgb="FF00B050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/>
      <right/>
      <top style="thin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/>
      <bottom/>
    </border>
    <border>
      <left/>
      <right/>
      <top/>
      <bottom style="thin">
        <color auto="1"/>
      </bottom>
    </border>
    <border>
      <left style="thin">
        <color auto="1"/>
      </left>
      <right/>
      <top/>
      <bottom/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000000"/>
      </left>
      <right/>
      <top/>
      <bottom style="thin">
        <color rgb="FF000000"/>
      </bottom>
    </border>
    <border>
      <left style="thin">
        <color rgb="FF000000"/>
      </left>
      <right/>
      <top style="thin">
        <color rgb="FF000000"/>
      </top>
      <bottom/>
    </border>
    <border>
      <left style="thin">
        <color rgb="FF000000"/>
      </left>
      <right/>
      <top/>
      <bottom/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/>
      <right style="thin">
        <color rgb="FF000000"/>
      </right>
      <top/>
      <bottom/>
    </border>
    <border>
      <left style="thin">
        <color auto="1"/>
      </left>
      <right style="thin">
        <color auto="1"/>
      </right>
      <top/>
      <bottom/>
    </border>
  </borders>
  <cellStyleXfs count="20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291">
    <xf numFmtId="0" fontId="0" fillId="0" borderId="0" xfId="0"/>
    <xf numFmtId="0" fontId="26" fillId="0" borderId="0" xfId="0" applyFont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11" fillId="0" borderId="3" xfId="0" applyFont="1" applyBorder="1" applyAlignment="1">
      <alignment horizontal="center" wrapText="1"/>
    </xf>
    <xf numFmtId="0" fontId="3" fillId="2" borderId="3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wrapText="1"/>
    </xf>
    <xf numFmtId="0" fontId="11" fillId="2" borderId="5" xfId="0" applyFont="1" applyFill="1" applyBorder="1" applyAlignment="1">
      <alignment horizontal="center" wrapText="1"/>
    </xf>
    <xf numFmtId="0" fontId="11" fillId="2" borderId="6" xfId="0" applyFont="1" applyFill="1" applyBorder="1" applyAlignment="1">
      <alignment horizontal="center" wrapText="1"/>
    </xf>
    <xf numFmtId="0" fontId="11" fillId="2" borderId="6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 wrapText="1"/>
    </xf>
    <xf numFmtId="0" fontId="24" fillId="2" borderId="0" xfId="0" applyFont="1" applyFill="1" applyAlignment="1">
      <alignment horizontal="center"/>
    </xf>
    <xf numFmtId="0" fontId="11" fillId="0" borderId="3" xfId="0" applyFont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3" xfId="0" applyFont="1" applyBorder="1" applyAlignment="1">
      <alignment horizontal="center" wrapText="1"/>
    </xf>
    <xf numFmtId="0" fontId="11" fillId="0" borderId="3" xfId="0" applyFont="1" applyBorder="1" applyAlignment="1">
      <alignment horizontal="center" wrapText="1"/>
    </xf>
    <xf numFmtId="0" fontId="2" fillId="0" borderId="0" xfId="0" applyFont="1" applyAlignment="1">
      <alignment horizontal="right"/>
    </xf>
    <xf numFmtId="0" fontId="2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1" fontId="3" fillId="0" borderId="0" xfId="0" applyNumberFormat="1" applyFont="1" applyAlignment="1">
      <alignment horizontal="center"/>
    </xf>
    <xf numFmtId="0" fontId="7" fillId="0" borderId="0" xfId="0" applyFont="1" applyAlignment="1">
      <alignment vertical="top"/>
    </xf>
    <xf numFmtId="0" fontId="10" fillId="0" borderId="0" xfId="0" applyFont="1"/>
    <xf numFmtId="0" fontId="13" fillId="0" borderId="0" xfId="0" applyFont="1"/>
    <xf numFmtId="0" fontId="13" fillId="2" borderId="0" xfId="0" applyFont="1" applyFill="1"/>
    <xf numFmtId="0" fontId="12" fillId="0" borderId="3" xfId="0" applyFont="1" applyBorder="1" applyAlignment="1" applyProtection="1">
      <alignment horizontal="center" vertical="center" wrapText="1"/>
      <protection locked="0"/>
    </xf>
    <xf numFmtId="0" fontId="12" fillId="2" borderId="3" xfId="0" applyFont="1" applyFill="1" applyBorder="1" applyAlignment="1" applyProtection="1">
      <alignment horizontal="center" vertical="center" wrapText="1"/>
      <protection locked="0"/>
    </xf>
    <xf numFmtId="0" fontId="12" fillId="0" borderId="3" xfId="0" applyFont="1" applyBorder="1" applyAlignment="1" applyProtection="1">
      <alignment horizontal="center" wrapText="1"/>
      <protection locked="0"/>
    </xf>
    <xf numFmtId="0" fontId="12" fillId="0" borderId="3" xfId="0" applyFont="1" applyBorder="1" applyAlignment="1" applyProtection="1">
      <alignment horizontal="left" wrapText="1"/>
      <protection locked="0"/>
    </xf>
    <xf numFmtId="3" fontId="12" fillId="2" borderId="3" xfId="0" applyNumberFormat="1" applyFont="1" applyFill="1" applyBorder="1" applyAlignment="1" applyProtection="1">
      <alignment horizontal="center" wrapText="1"/>
      <protection locked="0"/>
    </xf>
    <xf numFmtId="0" fontId="12" fillId="0" borderId="0" xfId="0" applyFont="1" applyAlignment="1">
      <alignment horizontal="center" vertical="center"/>
    </xf>
    <xf numFmtId="0" fontId="13" fillId="0" borderId="3" xfId="0" applyFont="1" applyBorder="1" applyAlignment="1" applyProtection="1">
      <alignment horizontal="left" wrapText="1"/>
      <protection locked="0"/>
    </xf>
    <xf numFmtId="0" fontId="13" fillId="0" borderId="3" xfId="0" applyFont="1" applyBorder="1" applyAlignment="1" applyProtection="1">
      <alignment horizontal="center" wrapText="1"/>
      <protection locked="0"/>
    </xf>
    <xf numFmtId="3" fontId="13" fillId="2" borderId="3" xfId="0" applyNumberFormat="1" applyFont="1" applyFill="1" applyBorder="1" applyAlignment="1" applyProtection="1">
      <alignment horizontal="center" wrapText="1"/>
      <protection locked="0"/>
    </xf>
    <xf numFmtId="0" fontId="12" fillId="0" borderId="3" xfId="0" applyFont="1" applyBorder="1" applyAlignment="1">
      <alignment horizontal="left" wrapText="1"/>
    </xf>
    <xf numFmtId="3" fontId="12" fillId="2" borderId="3" xfId="0" applyNumberFormat="1" applyFont="1" applyFill="1" applyBorder="1" applyAlignment="1">
      <alignment horizontal="center" wrapText="1"/>
    </xf>
    <xf numFmtId="0" fontId="13" fillId="0" borderId="3" xfId="0" applyFont="1" applyBorder="1" applyAlignment="1">
      <alignment horizontal="left" wrapText="1"/>
    </xf>
    <xf numFmtId="0" fontId="13" fillId="0" borderId="3" xfId="0" applyFont="1" applyBorder="1" applyAlignment="1">
      <alignment horizontal="center" wrapText="1"/>
    </xf>
    <xf numFmtId="3" fontId="13" fillId="2" borderId="3" xfId="0" applyNumberFormat="1" applyFont="1" applyFill="1" applyBorder="1" applyAlignment="1">
      <alignment horizontal="center" wrapText="1"/>
    </xf>
    <xf numFmtId="49" fontId="13" fillId="0" borderId="7" xfId="0" applyNumberFormat="1" applyFont="1" applyBorder="1" applyAlignment="1">
      <alignment horizontal="left" wrapText="1"/>
    </xf>
    <xf numFmtId="0" fontId="13" fillId="0" borderId="3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wrapText="1"/>
    </xf>
    <xf numFmtId="3" fontId="12" fillId="2" borderId="3" xfId="0" applyNumberFormat="1" applyFont="1" applyFill="1" applyBorder="1" applyAlignment="1">
      <alignment horizontal="center"/>
    </xf>
    <xf numFmtId="0" fontId="14" fillId="0" borderId="3" xfId="0" applyFont="1" applyBorder="1" applyAlignment="1">
      <alignment horizontal="center" vertical="center" wrapText="1"/>
    </xf>
    <xf numFmtId="0" fontId="12" fillId="0" borderId="3" xfId="0" applyFont="1" applyBorder="1" applyAlignment="1">
      <alignment wrapText="1"/>
    </xf>
    <xf numFmtId="0" fontId="13" fillId="0" borderId="3" xfId="0" applyFont="1" applyBorder="1"/>
    <xf numFmtId="3" fontId="13" fillId="2" borderId="3" xfId="0" applyNumberFormat="1" applyFont="1" applyFill="1" applyBorder="1" applyAlignment="1">
      <alignment horizontal="center"/>
    </xf>
    <xf numFmtId="0" fontId="15" fillId="0" borderId="0" xfId="0" applyFont="1"/>
    <xf numFmtId="0" fontId="16" fillId="0" borderId="0" xfId="0" applyFont="1"/>
    <xf numFmtId="0" fontId="4" fillId="0" borderId="0" xfId="0" applyFont="1"/>
    <xf numFmtId="3" fontId="3" fillId="2" borderId="3" xfId="0" applyNumberFormat="1" applyFont="1" applyFill="1" applyBorder="1" applyAlignment="1">
      <alignment horizontal="center"/>
    </xf>
    <xf numFmtId="3" fontId="9" fillId="0" borderId="3" xfId="0" applyNumberFormat="1" applyFont="1" applyBorder="1"/>
    <xf numFmtId="3" fontId="2" fillId="0" borderId="3" xfId="0" applyNumberFormat="1" applyFont="1" applyBorder="1"/>
    <xf numFmtId="0" fontId="2" fillId="0" borderId="3" xfId="0" applyFont="1" applyBorder="1"/>
    <xf numFmtId="0" fontId="2" fillId="0" borderId="3" xfId="0" applyFont="1" applyBorder="1" applyAlignment="1">
      <alignment horizontal="center"/>
    </xf>
    <xf numFmtId="0" fontId="8" fillId="0" borderId="0" xfId="0" applyFont="1"/>
    <xf numFmtId="3" fontId="9" fillId="0" borderId="3" xfId="0" applyNumberFormat="1" applyFont="1" applyBorder="1" applyAlignment="1">
      <alignment horizontal="right" wrapText="1"/>
    </xf>
    <xf numFmtId="3" fontId="2" fillId="0" borderId="3" xfId="0" applyNumberFormat="1" applyFont="1" applyBorder="1" applyAlignment="1">
      <alignment horizontal="right" wrapText="1"/>
    </xf>
    <xf numFmtId="0" fontId="2" fillId="0" borderId="3" xfId="0" applyFont="1" applyBorder="1" applyAlignment="1">
      <alignment horizontal="center" vertical="top"/>
    </xf>
    <xf numFmtId="0" fontId="3" fillId="0" borderId="3" xfId="0" applyFont="1" applyBorder="1" applyAlignment="1">
      <alignment horizontal="center" vertical="center" wrapText="1"/>
    </xf>
    <xf numFmtId="3" fontId="3" fillId="0" borderId="3" xfId="0" applyNumberFormat="1" applyFont="1" applyBorder="1" applyAlignment="1">
      <alignment horizontal="right" wrapText="1"/>
    </xf>
    <xf numFmtId="3" fontId="3" fillId="0" borderId="3" xfId="0" applyNumberFormat="1" applyFont="1" applyBorder="1"/>
    <xf numFmtId="3" fontId="2" fillId="0" borderId="3" xfId="0" applyNumberFormat="1" applyFont="1" applyBorder="1" applyAlignment="1">
      <alignment horizontal="right"/>
    </xf>
    <xf numFmtId="0" fontId="0" fillId="0" borderId="3" xfId="0" applyBorder="1"/>
    <xf numFmtId="2" fontId="2" fillId="0" borderId="3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 vertical="top"/>
    </xf>
    <xf numFmtId="3" fontId="3" fillId="0" borderId="3" xfId="0" applyNumberFormat="1" applyFont="1" applyBorder="1" applyAlignment="1">
      <alignment horizontal="right"/>
    </xf>
    <xf numFmtId="43" fontId="3" fillId="0" borderId="3" xfId="18" applyFont="1" applyFill="1" applyBorder="1" applyAlignment="1">
      <alignment horizontal="center" vertical="top"/>
    </xf>
    <xf numFmtId="3" fontId="5" fillId="0" borderId="3" xfId="0" applyNumberFormat="1" applyFont="1" applyBorder="1"/>
    <xf numFmtId="0" fontId="9" fillId="0" borderId="3" xfId="0" applyFont="1" applyBorder="1" applyAlignment="1">
      <alignment vertical="top" wrapText="1"/>
    </xf>
    <xf numFmtId="0" fontId="9" fillId="0" borderId="3" xfId="0" applyFont="1" applyBorder="1" applyAlignment="1">
      <alignment wrapText="1"/>
    </xf>
    <xf numFmtId="0" fontId="9" fillId="0" borderId="3" xfId="0" applyFont="1" applyBorder="1" applyAlignment="1">
      <alignment vertical="center" wrapText="1"/>
    </xf>
    <xf numFmtId="0" fontId="19" fillId="0" borderId="0" xfId="0" applyFont="1"/>
    <xf numFmtId="3" fontId="0" fillId="0" borderId="0" xfId="0" applyNumberFormat="1"/>
    <xf numFmtId="0" fontId="9" fillId="0" borderId="0" xfId="0" applyFont="1"/>
    <xf numFmtId="0" fontId="27" fillId="0" borderId="0" xfId="0" applyFont="1"/>
    <xf numFmtId="1" fontId="8" fillId="0" borderId="0" xfId="0" applyNumberFormat="1" applyFont="1"/>
    <xf numFmtId="0" fontId="9" fillId="0" borderId="3" xfId="0" applyFont="1" applyBorder="1" applyAlignment="1">
      <alignment horizontal="center"/>
    </xf>
    <xf numFmtId="0" fontId="28" fillId="0" borderId="0" xfId="0" applyFont="1"/>
    <xf numFmtId="3" fontId="8" fillId="0" borderId="0" xfId="0" applyNumberFormat="1" applyFont="1"/>
    <xf numFmtId="0" fontId="11" fillId="0" borderId="3" xfId="0" applyFont="1" applyBorder="1" applyAlignment="1">
      <alignment horizontal="center" vertical="top"/>
    </xf>
    <xf numFmtId="0" fontId="11" fillId="0" borderId="3" xfId="0" applyFont="1" applyBorder="1"/>
    <xf numFmtId="0" fontId="9" fillId="0" borderId="3" xfId="0" applyFont="1" applyBorder="1"/>
    <xf numFmtId="0" fontId="11" fillId="0" borderId="3" xfId="0" applyFont="1" applyBorder="1" applyAlignment="1">
      <alignment wrapText="1"/>
    </xf>
    <xf numFmtId="0" fontId="17" fillId="0" borderId="0" xfId="0" applyFont="1"/>
    <xf numFmtId="0" fontId="20" fillId="0" borderId="0" xfId="0" applyFont="1"/>
    <xf numFmtId="0" fontId="25" fillId="0" borderId="0" xfId="0" applyFont="1"/>
    <xf numFmtId="3" fontId="29" fillId="0" borderId="3" xfId="0" applyNumberFormat="1" applyFont="1" applyBorder="1"/>
    <xf numFmtId="3" fontId="29" fillId="0" borderId="3" xfId="0" applyNumberFormat="1" applyFont="1" applyBorder="1" applyAlignment="1">
      <alignment horizontal="right" wrapText="1"/>
    </xf>
    <xf numFmtId="3" fontId="2" fillId="2" borderId="3" xfId="0" applyNumberFormat="1" applyFont="1" applyFill="1" applyBorder="1" applyAlignment="1">
      <alignment horizontal="right" wrapText="1"/>
    </xf>
    <xf numFmtId="3" fontId="2" fillId="2" borderId="3" xfId="0" applyNumberFormat="1" applyFont="1" applyFill="1" applyBorder="1"/>
    <xf numFmtId="3" fontId="29" fillId="2" borderId="3" xfId="0" applyNumberFormat="1" applyFont="1" applyFill="1" applyBorder="1"/>
    <xf numFmtId="0" fontId="9" fillId="2" borderId="3" xfId="0" applyFont="1" applyFill="1" applyBorder="1" applyAlignment="1">
      <alignment wrapText="1"/>
    </xf>
    <xf numFmtId="0" fontId="9" fillId="2" borderId="3" xfId="0" applyFont="1" applyFill="1" applyBorder="1"/>
    <xf numFmtId="0" fontId="11" fillId="2" borderId="3" xfId="0" applyFont="1" applyFill="1" applyBorder="1"/>
    <xf numFmtId="0" fontId="11" fillId="2" borderId="3" xfId="0" applyFont="1" applyFill="1" applyBorder="1" applyAlignment="1">
      <alignment wrapText="1"/>
    </xf>
    <xf numFmtId="3" fontId="11" fillId="2" borderId="3" xfId="0" applyNumberFormat="1" applyFont="1" applyFill="1" applyBorder="1"/>
    <xf numFmtId="3" fontId="9" fillId="2" borderId="3" xfId="0" applyNumberFormat="1" applyFont="1" applyFill="1" applyBorder="1"/>
    <xf numFmtId="3" fontId="19" fillId="0" borderId="0" xfId="0" applyNumberFormat="1" applyFont="1"/>
    <xf numFmtId="0" fontId="11" fillId="0" borderId="0" xfId="0" applyFont="1" applyAlignment="1">
      <alignment horizontal="center"/>
    </xf>
    <xf numFmtId="0" fontId="8" fillId="0" borderId="3" xfId="0" applyFont="1" applyBorder="1" applyAlignment="1">
      <alignment vertical="top" wrapText="1"/>
    </xf>
    <xf numFmtId="0" fontId="9" fillId="0" borderId="3" xfId="0" applyFont="1" applyBorder="1" applyAlignment="1">
      <alignment horizontal="left" wrapText="1"/>
    </xf>
    <xf numFmtId="0" fontId="9" fillId="0" borderId="3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top" wrapText="1"/>
    </xf>
    <xf numFmtId="0" fontId="9" fillId="2" borderId="3" xfId="0" applyFont="1" applyFill="1" applyBorder="1" applyAlignment="1">
      <alignment horizontal="left" wrapText="1"/>
    </xf>
    <xf numFmtId="0" fontId="9" fillId="2" borderId="3" xfId="0" applyFont="1" applyFill="1" applyBorder="1" applyAlignment="1">
      <alignment vertical="center" wrapText="1"/>
    </xf>
    <xf numFmtId="0" fontId="9" fillId="0" borderId="3" xfId="0" applyFont="1" applyBorder="1" applyAlignment="1">
      <alignment horizontal="left"/>
    </xf>
    <xf numFmtId="0" fontId="11" fillId="0" borderId="3" xfId="0" applyFont="1" applyBorder="1" applyAlignment="1">
      <alignment vertical="top" wrapText="1"/>
    </xf>
    <xf numFmtId="0" fontId="8" fillId="0" borderId="3" xfId="0" applyFont="1" applyBorder="1" applyAlignment="1">
      <alignment horizontal="left" wrapText="1"/>
    </xf>
    <xf numFmtId="0" fontId="8" fillId="0" borderId="8" xfId="0" applyFont="1" applyBorder="1" applyAlignment="1">
      <alignment vertical="center" wrapText="1"/>
    </xf>
    <xf numFmtId="0" fontId="8" fillId="2" borderId="3" xfId="0" applyFont="1" applyFill="1" applyBorder="1" applyAlignment="1">
      <alignment horizontal="left" wrapText="1"/>
    </xf>
    <xf numFmtId="0" fontId="2" fillId="2" borderId="3" xfId="0" applyFont="1" applyFill="1" applyBorder="1" applyAlignment="1">
      <alignment horizontal="left" vertical="top" wrapText="1"/>
    </xf>
    <xf numFmtId="0" fontId="2" fillId="2" borderId="3" xfId="0" applyFont="1" applyFill="1" applyBorder="1" applyAlignment="1">
      <alignment wrapText="1"/>
    </xf>
    <xf numFmtId="0" fontId="2" fillId="0" borderId="3" xfId="0" applyFont="1" applyBorder="1" applyAlignment="1">
      <alignment horizontal="left" vertical="top" wrapText="1"/>
    </xf>
    <xf numFmtId="0" fontId="2" fillId="2" borderId="3" xfId="0" applyFont="1" applyFill="1" applyBorder="1"/>
    <xf numFmtId="0" fontId="2" fillId="2" borderId="3" xfId="0" applyFont="1" applyFill="1" applyBorder="1" applyAlignment="1">
      <alignment horizontal="left" wrapText="1"/>
    </xf>
    <xf numFmtId="3" fontId="18" fillId="2" borderId="3" xfId="0" applyNumberFormat="1" applyFont="1" applyFill="1" applyBorder="1"/>
    <xf numFmtId="0" fontId="30" fillId="2" borderId="3" xfId="0" applyFont="1" applyFill="1" applyBorder="1"/>
    <xf numFmtId="0" fontId="8" fillId="2" borderId="0" xfId="0" applyFont="1" applyFill="1"/>
    <xf numFmtId="0" fontId="27" fillId="2" borderId="0" xfId="0" applyFont="1" applyFill="1"/>
    <xf numFmtId="0" fontId="0" fillId="2" borderId="0" xfId="0" applyFill="1"/>
    <xf numFmtId="0" fontId="3" fillId="2" borderId="0" xfId="0" applyFont="1" applyFill="1" applyAlignment="1">
      <alignment horizontal="right"/>
    </xf>
    <xf numFmtId="0" fontId="2" fillId="2" borderId="0" xfId="0" applyFont="1" applyFill="1" applyAlignment="1">
      <alignment horizontal="right"/>
    </xf>
    <xf numFmtId="0" fontId="2" fillId="2" borderId="0" xfId="0" applyFont="1" applyFill="1"/>
    <xf numFmtId="1" fontId="2" fillId="2" borderId="0" xfId="0" applyNumberFormat="1" applyFont="1" applyFill="1"/>
    <xf numFmtId="3" fontId="11" fillId="2" borderId="3" xfId="0" applyNumberFormat="1" applyFont="1" applyFill="1" applyBorder="1" applyAlignment="1">
      <alignment horizontal="center"/>
    </xf>
    <xf numFmtId="3" fontId="3" fillId="2" borderId="3" xfId="0" applyNumberFormat="1" applyFont="1" applyFill="1" applyBorder="1"/>
    <xf numFmtId="0" fontId="31" fillId="0" borderId="3" xfId="0" applyFont="1" applyBorder="1" applyAlignment="1">
      <alignment horizontal="center" vertical="top" wrapText="1"/>
    </xf>
    <xf numFmtId="3" fontId="31" fillId="2" borderId="3" xfId="0" applyNumberFormat="1" applyFont="1" applyFill="1" applyBorder="1" applyAlignment="1">
      <alignment horizontal="center" wrapText="1"/>
    </xf>
    <xf numFmtId="0" fontId="31" fillId="2" borderId="3" xfId="0" applyFont="1" applyFill="1" applyBorder="1" applyAlignment="1">
      <alignment horizontal="center" vertical="top" wrapText="1"/>
    </xf>
    <xf numFmtId="0" fontId="31" fillId="2" borderId="3" xfId="0" applyFont="1" applyFill="1" applyBorder="1" applyAlignment="1">
      <alignment horizontal="center" wrapText="1"/>
    </xf>
    <xf numFmtId="3" fontId="9" fillId="2" borderId="3" xfId="0" applyNumberFormat="1" applyFont="1" applyFill="1" applyBorder="1" applyAlignment="1">
      <alignment horizontal="center"/>
    </xf>
    <xf numFmtId="0" fontId="31" fillId="0" borderId="3" xfId="0" applyFont="1" applyBorder="1" applyAlignment="1">
      <alignment horizontal="center" wrapText="1"/>
    </xf>
    <xf numFmtId="0" fontId="31" fillId="2" borderId="8" xfId="0" applyFont="1" applyFill="1" applyBorder="1" applyAlignment="1">
      <alignment horizontal="center" vertical="center" wrapText="1"/>
    </xf>
    <xf numFmtId="0" fontId="31" fillId="0" borderId="8" xfId="0" applyFont="1" applyBorder="1" applyAlignment="1">
      <alignment horizontal="center" vertical="center" wrapText="1"/>
    </xf>
    <xf numFmtId="0" fontId="31" fillId="2" borderId="9" xfId="0" applyFont="1" applyFill="1" applyBorder="1" applyAlignment="1">
      <alignment horizontal="center" vertical="center" wrapText="1"/>
    </xf>
    <xf numFmtId="0" fontId="31" fillId="0" borderId="3" xfId="0" applyFont="1" applyBorder="1" applyAlignment="1">
      <alignment horizontal="center" vertical="center" wrapText="1"/>
    </xf>
    <xf numFmtId="0" fontId="19" fillId="2" borderId="0" xfId="0" applyFont="1" applyFill="1"/>
    <xf numFmtId="0" fontId="21" fillId="2" borderId="0" xfId="0" applyFont="1" applyFill="1"/>
    <xf numFmtId="0" fontId="11" fillId="2" borderId="3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right"/>
    </xf>
    <xf numFmtId="0" fontId="11" fillId="2" borderId="3" xfId="0" applyFont="1" applyFill="1" applyBorder="1" applyAlignment="1">
      <alignment horizontal="left"/>
    </xf>
    <xf numFmtId="0" fontId="18" fillId="2" borderId="3" xfId="0" applyFont="1" applyFill="1" applyBorder="1"/>
    <xf numFmtId="49" fontId="11" fillId="2" borderId="3" xfId="0" applyNumberFormat="1" applyFont="1" applyFill="1" applyBorder="1"/>
    <xf numFmtId="0" fontId="23" fillId="2" borderId="0" xfId="0" applyFont="1" applyFill="1" applyAlignment="1">
      <alignment horizontal="right"/>
    </xf>
    <xf numFmtId="0" fontId="9" fillId="2" borderId="0" xfId="0" applyFont="1" applyFill="1" applyAlignment="1">
      <alignment horizontal="right"/>
    </xf>
    <xf numFmtId="0" fontId="22" fillId="2" borderId="0" xfId="0" applyFont="1" applyFill="1"/>
    <xf numFmtId="0" fontId="7" fillId="2" borderId="3" xfId="0" applyFont="1" applyFill="1" applyBorder="1" applyAlignment="1">
      <alignment vertical="top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1" fillId="2" borderId="0" xfId="0" applyFont="1" applyFill="1" applyAlignment="1">
      <alignment horizontal="right"/>
    </xf>
    <xf numFmtId="0" fontId="8" fillId="2" borderId="0" xfId="0" applyFont="1" applyFill="1" applyAlignment="1">
      <alignment horizontal="right"/>
    </xf>
    <xf numFmtId="0" fontId="9" fillId="2" borderId="3" xfId="0" applyFont="1" applyFill="1" applyBorder="1" applyAlignment="1">
      <alignment horizontal="center"/>
    </xf>
    <xf numFmtId="1" fontId="9" fillId="2" borderId="3" xfId="0" applyNumberFormat="1" applyFont="1" applyFill="1" applyBorder="1" applyAlignment="1">
      <alignment horizontal="center" vertical="center" wrapText="1"/>
    </xf>
    <xf numFmtId="3" fontId="9" fillId="2" borderId="8" xfId="0" applyNumberFormat="1" applyFont="1" applyFill="1" applyBorder="1" applyAlignment="1">
      <alignment horizontal="center" wrapText="1"/>
    </xf>
    <xf numFmtId="3" fontId="9" fillId="2" borderId="3" xfId="0" applyNumberFormat="1" applyFont="1" applyFill="1" applyBorder="1" applyAlignment="1">
      <alignment horizontal="center" wrapText="1"/>
    </xf>
    <xf numFmtId="3" fontId="9" fillId="2" borderId="10" xfId="0" applyNumberFormat="1" applyFont="1" applyFill="1" applyBorder="1" applyAlignment="1">
      <alignment horizontal="center" wrapText="1"/>
    </xf>
    <xf numFmtId="3" fontId="9" fillId="2" borderId="9" xfId="0" applyNumberFormat="1" applyFont="1" applyFill="1" applyBorder="1" applyAlignment="1">
      <alignment horizontal="center" wrapText="1"/>
    </xf>
    <xf numFmtId="0" fontId="21" fillId="2" borderId="0" xfId="0" applyFont="1" applyFill="1" applyAlignment="1">
      <alignment horizontal="right"/>
    </xf>
    <xf numFmtId="0" fontId="21" fillId="2" borderId="0" xfId="0" applyFont="1" applyFill="1" applyAlignment="1">
      <alignment horizontal="center"/>
    </xf>
    <xf numFmtId="0" fontId="18" fillId="2" borderId="3" xfId="0" applyFont="1" applyFill="1" applyBorder="1" applyAlignment="1">
      <alignment wrapText="1"/>
    </xf>
    <xf numFmtId="3" fontId="9" fillId="2" borderId="3" xfId="0" applyNumberFormat="1" applyFont="1" applyFill="1" applyBorder="1" applyAlignment="1">
      <alignment horizontal="right"/>
    </xf>
    <xf numFmtId="0" fontId="2" fillId="2" borderId="0" xfId="0" applyFont="1" applyFill="1" applyAlignment="1">
      <alignment wrapText="1"/>
    </xf>
    <xf numFmtId="0" fontId="2" fillId="2" borderId="3" xfId="0" applyFont="1" applyFill="1" applyBorder="1" applyAlignment="1">
      <alignment vertical="top" wrapText="1"/>
    </xf>
    <xf numFmtId="49" fontId="11" fillId="2" borderId="3" xfId="0" applyNumberFormat="1" applyFont="1" applyFill="1" applyBorder="1" applyAlignment="1">
      <alignment wrapText="1"/>
    </xf>
    <xf numFmtId="0" fontId="3" fillId="2" borderId="3" xfId="0" applyFont="1" applyFill="1" applyBorder="1" applyAlignment="1">
      <alignment wrapText="1"/>
    </xf>
    <xf numFmtId="3" fontId="13" fillId="0" borderId="3" xfId="0" applyNumberFormat="1" applyFont="1" applyBorder="1"/>
    <xf numFmtId="0" fontId="12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3" fontId="13" fillId="0" borderId="3" xfId="0" applyNumberFormat="1" applyFont="1" applyBorder="1" applyAlignment="1">
      <alignment horizontal="center"/>
    </xf>
    <xf numFmtId="0" fontId="7" fillId="2" borderId="3" xfId="0" applyFont="1" applyFill="1" applyBorder="1" applyAlignment="1">
      <alignment horizontal="center" vertical="top" wrapText="1"/>
    </xf>
    <xf numFmtId="3" fontId="11" fillId="2" borderId="6" xfId="0" applyNumberFormat="1" applyFont="1" applyFill="1" applyBorder="1"/>
    <xf numFmtId="3" fontId="9" fillId="2" borderId="6" xfId="0" applyNumberFormat="1" applyFont="1" applyFill="1" applyBorder="1"/>
    <xf numFmtId="3" fontId="18" fillId="2" borderId="6" xfId="0" applyNumberFormat="1" applyFont="1" applyFill="1" applyBorder="1"/>
    <xf numFmtId="0" fontId="31" fillId="2" borderId="3" xfId="0" applyFont="1" applyFill="1" applyBorder="1"/>
    <xf numFmtId="0" fontId="18" fillId="0" borderId="3" xfId="0" applyFont="1" applyBorder="1"/>
    <xf numFmtId="0" fontId="5" fillId="0" borderId="3" xfId="0" applyFont="1" applyBorder="1"/>
    <xf numFmtId="0" fontId="3" fillId="2" borderId="3" xfId="0" applyFont="1" applyFill="1" applyBorder="1"/>
    <xf numFmtId="0" fontId="5" fillId="2" borderId="3" xfId="0" applyFont="1" applyFill="1" applyBorder="1"/>
    <xf numFmtId="3" fontId="12" fillId="0" borderId="3" xfId="0" applyNumberFormat="1" applyFont="1" applyBorder="1"/>
    <xf numFmtId="0" fontId="9" fillId="0" borderId="0" xfId="0" applyFont="1" applyAlignment="1">
      <alignment wrapText="1"/>
    </xf>
    <xf numFmtId="0" fontId="9" fillId="0" borderId="11" xfId="0" applyFont="1" applyBorder="1" applyAlignment="1">
      <alignment wrapText="1"/>
    </xf>
    <xf numFmtId="3" fontId="12" fillId="0" borderId="3" xfId="0" applyNumberFormat="1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3" fontId="11" fillId="0" borderId="3" xfId="0" applyNumberFormat="1" applyFont="1" applyBorder="1"/>
    <xf numFmtId="3" fontId="13" fillId="0" borderId="0" xfId="0" applyNumberFormat="1" applyFont="1"/>
    <xf numFmtId="0" fontId="7" fillId="2" borderId="3" xfId="0" applyFont="1" applyFill="1" applyBorder="1"/>
    <xf numFmtId="0" fontId="12" fillId="0" borderId="3" xfId="0" applyFont="1" applyBorder="1" applyAlignment="1">
      <alignment horizontal="center"/>
    </xf>
    <xf numFmtId="1" fontId="7" fillId="0" borderId="0" xfId="0" applyNumberFormat="1" applyFont="1" applyAlignment="1">
      <alignment vertical="top" wrapText="1"/>
    </xf>
    <xf numFmtId="0" fontId="31" fillId="0" borderId="2" xfId="0" applyFont="1" applyBorder="1" applyAlignment="1">
      <alignment horizontal="center" wrapText="1"/>
    </xf>
    <xf numFmtId="3" fontId="9" fillId="2" borderId="2" xfId="0" applyNumberFormat="1" applyFont="1" applyFill="1" applyBorder="1" applyAlignment="1">
      <alignment horizontal="center"/>
    </xf>
    <xf numFmtId="0" fontId="31" fillId="2" borderId="2" xfId="0" applyFont="1" applyFill="1" applyBorder="1" applyAlignment="1">
      <alignment horizontal="center" vertical="top" wrapText="1"/>
    </xf>
    <xf numFmtId="0" fontId="31" fillId="2" borderId="1" xfId="0" applyFont="1" applyFill="1" applyBorder="1" applyAlignment="1">
      <alignment horizontal="center" wrapText="1"/>
    </xf>
    <xf numFmtId="3" fontId="9" fillId="2" borderId="1" xfId="0" applyNumberFormat="1" applyFont="1" applyFill="1" applyBorder="1" applyAlignment="1">
      <alignment horizontal="center"/>
    </xf>
    <xf numFmtId="0" fontId="31" fillId="2" borderId="3" xfId="0" applyFont="1" applyFill="1" applyBorder="1" applyAlignment="1">
      <alignment horizontal="center" vertical="center" wrapText="1"/>
    </xf>
    <xf numFmtId="3" fontId="13" fillId="0" borderId="12" xfId="0" applyNumberFormat="1" applyFont="1" applyBorder="1" applyAlignment="1">
      <alignment wrapText="1"/>
    </xf>
    <xf numFmtId="3" fontId="9" fillId="0" borderId="6" xfId="0" applyNumberFormat="1" applyFont="1" applyBorder="1"/>
    <xf numFmtId="3" fontId="11" fillId="0" borderId="3" xfId="0" applyNumberFormat="1" applyFont="1" applyBorder="1" applyAlignment="1">
      <alignment horizontal="center"/>
    </xf>
    <xf numFmtId="3" fontId="9" fillId="0" borderId="3" xfId="0" applyNumberFormat="1" applyFont="1" applyBorder="1" applyAlignment="1">
      <alignment horizontal="center"/>
    </xf>
    <xf numFmtId="3" fontId="2" fillId="0" borderId="3" xfId="0" applyNumberFormat="1" applyFont="1" applyBorder="1" applyAlignment="1">
      <alignment horizontal="center"/>
    </xf>
    <xf numFmtId="1" fontId="7" fillId="0" borderId="0" xfId="0" applyNumberFormat="1" applyFont="1" applyAlignment="1">
      <alignment vertical="top"/>
    </xf>
    <xf numFmtId="0" fontId="34" fillId="0" borderId="0" xfId="0" applyFont="1" applyAlignment="1">
      <alignment vertical="top" wrapText="1"/>
    </xf>
    <xf numFmtId="0" fontId="8" fillId="0" borderId="3" xfId="0" applyFont="1" applyBorder="1"/>
    <xf numFmtId="0" fontId="2" fillId="0" borderId="3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3" xfId="0" applyFont="1" applyBorder="1" applyAlignment="1">
      <alignment vertical="top" wrapText="1"/>
    </xf>
    <xf numFmtId="1" fontId="9" fillId="0" borderId="3" xfId="0" applyNumberFormat="1" applyFont="1" applyBorder="1" applyAlignment="1">
      <alignment horizontal="center" vertical="center" wrapText="1"/>
    </xf>
    <xf numFmtId="3" fontId="9" fillId="0" borderId="6" xfId="0" applyNumberFormat="1" applyFont="1" applyBorder="1" applyAlignment="1">
      <alignment horizontal="center"/>
    </xf>
    <xf numFmtId="3" fontId="9" fillId="0" borderId="13" xfId="0" applyNumberFormat="1" applyFont="1" applyBorder="1" applyAlignment="1">
      <alignment horizontal="center" wrapText="1"/>
    </xf>
    <xf numFmtId="3" fontId="9" fillId="0" borderId="3" xfId="0" applyNumberFormat="1" applyFont="1" applyBorder="1" applyAlignment="1">
      <alignment horizontal="center" wrapText="1"/>
    </xf>
    <xf numFmtId="3" fontId="9" fillId="0" borderId="2" xfId="0" applyNumberFormat="1" applyFont="1" applyBorder="1" applyAlignment="1">
      <alignment horizontal="center" wrapText="1"/>
    </xf>
    <xf numFmtId="3" fontId="9" fillId="0" borderId="0" xfId="0" applyNumberFormat="1" applyFont="1" applyAlignment="1">
      <alignment horizontal="center" wrapText="1"/>
    </xf>
    <xf numFmtId="3" fontId="9" fillId="0" borderId="2" xfId="0" applyNumberFormat="1" applyFont="1" applyBorder="1" applyAlignment="1">
      <alignment horizontal="center"/>
    </xf>
    <xf numFmtId="3" fontId="9" fillId="0" borderId="1" xfId="0" applyNumberFormat="1" applyFont="1" applyBorder="1" applyAlignment="1">
      <alignment horizontal="center"/>
    </xf>
    <xf numFmtId="3" fontId="2" fillId="0" borderId="14" xfId="0" applyNumberFormat="1" applyFont="1" applyBorder="1" applyAlignment="1">
      <alignment horizontal="center" wrapText="1"/>
    </xf>
    <xf numFmtId="3" fontId="29" fillId="0" borderId="3" xfId="0" applyNumberFormat="1" applyFont="1" applyBorder="1" applyAlignment="1">
      <alignment horizontal="center"/>
    </xf>
    <xf numFmtId="3" fontId="9" fillId="0" borderId="15" xfId="0" applyNumberFormat="1" applyFont="1" applyBorder="1" applyAlignment="1">
      <alignment horizontal="center" wrapText="1"/>
    </xf>
    <xf numFmtId="3" fontId="9" fillId="0" borderId="16" xfId="0" applyNumberFormat="1" applyFont="1" applyBorder="1" applyAlignment="1">
      <alignment horizontal="center" wrapText="1"/>
    </xf>
    <xf numFmtId="0" fontId="33" fillId="2" borderId="0" xfId="0" applyFont="1" applyFill="1" applyAlignment="1">
      <alignment horizontal="center" vertical="top" wrapText="1"/>
    </xf>
    <xf numFmtId="0" fontId="11" fillId="2" borderId="3" xfId="0" applyFont="1" applyFill="1" applyBorder="1" applyAlignment="1">
      <alignment horizontal="center" vertical="top"/>
    </xf>
    <xf numFmtId="0" fontId="31" fillId="2" borderId="17" xfId="0" applyFont="1" applyFill="1" applyBorder="1" applyAlignment="1">
      <alignment horizontal="center" vertical="center" wrapText="1"/>
    </xf>
    <xf numFmtId="3" fontId="9" fillId="2" borderId="0" xfId="0" applyNumberFormat="1" applyFont="1" applyFill="1" applyAlignment="1">
      <alignment horizontal="center" wrapText="1"/>
    </xf>
    <xf numFmtId="0" fontId="9" fillId="2" borderId="0" xfId="0" applyFont="1" applyFill="1" applyAlignment="1">
      <alignment wrapText="1"/>
    </xf>
    <xf numFmtId="3" fontId="12" fillId="0" borderId="3" xfId="0" applyNumberFormat="1" applyFont="1" applyBorder="1" applyAlignment="1">
      <alignment horizontal="center" vertical="center"/>
    </xf>
    <xf numFmtId="3" fontId="2" fillId="2" borderId="3" xfId="0" applyNumberFormat="1" applyFont="1" applyFill="1" applyBorder="1" applyAlignment="1">
      <alignment horizontal="center"/>
    </xf>
    <xf numFmtId="0" fontId="9" fillId="2" borderId="3" xfId="0" applyFont="1" applyFill="1" applyBorder="1" applyAlignment="1">
      <alignment vertical="top" wrapText="1"/>
    </xf>
    <xf numFmtId="3" fontId="32" fillId="2" borderId="3" xfId="0" applyNumberFormat="1" applyFont="1" applyFill="1" applyBorder="1" applyAlignment="1">
      <alignment horizontal="center" wrapText="1"/>
    </xf>
    <xf numFmtId="3" fontId="31" fillId="2" borderId="2" xfId="0" applyNumberFormat="1" applyFont="1" applyFill="1" applyBorder="1" applyAlignment="1">
      <alignment horizontal="center" wrapText="1"/>
    </xf>
    <xf numFmtId="3" fontId="31" fillId="2" borderId="1" xfId="0" applyNumberFormat="1" applyFont="1" applyFill="1" applyBorder="1" applyAlignment="1">
      <alignment horizontal="center" wrapText="1"/>
    </xf>
    <xf numFmtId="0" fontId="8" fillId="2" borderId="3" xfId="0" applyFont="1" applyFill="1" applyBorder="1"/>
    <xf numFmtId="0" fontId="8" fillId="2" borderId="3" xfId="0" applyFont="1" applyFill="1" applyBorder="1" applyAlignment="1">
      <alignment wrapText="1"/>
    </xf>
    <xf numFmtId="3" fontId="9" fillId="2" borderId="0" xfId="0" applyNumberFormat="1" applyFont="1" applyFill="1"/>
    <xf numFmtId="3" fontId="3" fillId="0" borderId="0" xfId="0" applyNumberFormat="1" applyFont="1" applyAlignment="1">
      <alignment horizontal="right" wrapText="1"/>
    </xf>
    <xf numFmtId="3" fontId="9" fillId="2" borderId="13" xfId="0" applyNumberFormat="1" applyFont="1" applyFill="1" applyBorder="1" applyAlignment="1">
      <alignment horizontal="center" wrapText="1"/>
    </xf>
    <xf numFmtId="0" fontId="32" fillId="2" borderId="3" xfId="0" applyFont="1" applyFill="1" applyBorder="1" applyAlignment="1">
      <alignment horizontal="center" vertical="top" wrapText="1"/>
    </xf>
    <xf numFmtId="0" fontId="8" fillId="0" borderId="12" xfId="0" applyFont="1" applyBorder="1"/>
    <xf numFmtId="3" fontId="11" fillId="0" borderId="0" xfId="0" applyNumberFormat="1" applyFont="1" applyAlignment="1">
      <alignment horizontal="center"/>
    </xf>
    <xf numFmtId="3" fontId="3" fillId="0" borderId="0" xfId="0" applyNumberFormat="1" applyFont="1" applyAlignment="1">
      <alignment horizontal="center"/>
    </xf>
    <xf numFmtId="3" fontId="11" fillId="2" borderId="0" xfId="0" applyNumberFormat="1" applyFont="1" applyFill="1" applyAlignment="1">
      <alignment horizontal="center"/>
    </xf>
    <xf numFmtId="9" fontId="0" fillId="0" borderId="0" xfId="15" applyFont="1" applyFill="1"/>
    <xf numFmtId="3" fontId="13" fillId="2" borderId="12" xfId="0" applyNumberFormat="1" applyFont="1" applyFill="1" applyBorder="1"/>
    <xf numFmtId="0" fontId="11" fillId="2" borderId="3" xfId="0" applyFont="1" applyFill="1" applyBorder="1" applyAlignment="1">
      <alignment vertical="top" wrapText="1"/>
    </xf>
    <xf numFmtId="0" fontId="2" fillId="2" borderId="0" xfId="0" applyFont="1" applyFill="1" applyAlignment="1">
      <alignment horizontal="left" vertical="top" wrapText="1"/>
    </xf>
    <xf numFmtId="0" fontId="0" fillId="0" borderId="0" xfId="17" applyNumberFormat="1" applyFont="1" applyFill="1"/>
    <xf numFmtId="3" fontId="28" fillId="0" borderId="0" xfId="0" applyNumberFormat="1" applyFont="1"/>
    <xf numFmtId="3" fontId="35" fillId="0" borderId="0" xfId="0" applyNumberFormat="1" applyFont="1"/>
    <xf numFmtId="0" fontId="31" fillId="3" borderId="3" xfId="0" applyFont="1" applyFill="1" applyBorder="1" applyAlignment="1">
      <alignment horizontal="center" vertical="top" wrapText="1"/>
    </xf>
    <xf numFmtId="0" fontId="31" fillId="3" borderId="3" xfId="0" applyFont="1" applyFill="1" applyBorder="1" applyAlignment="1">
      <alignment horizontal="center" wrapText="1"/>
    </xf>
    <xf numFmtId="0" fontId="31" fillId="3" borderId="0" xfId="0" applyFont="1" applyFill="1" applyAlignment="1">
      <alignment horizontal="center" wrapText="1"/>
    </xf>
    <xf numFmtId="0" fontId="31" fillId="3" borderId="0" xfId="0" applyFont="1" applyFill="1" applyAlignment="1">
      <alignment horizontal="center" vertical="center" wrapText="1"/>
    </xf>
    <xf numFmtId="0" fontId="31" fillId="3" borderId="2" xfId="0" applyFont="1" applyFill="1" applyBorder="1" applyAlignment="1">
      <alignment horizontal="center" vertical="top" wrapText="1"/>
    </xf>
    <xf numFmtId="0" fontId="31" fillId="3" borderId="1" xfId="0" applyFont="1" applyFill="1" applyBorder="1" applyAlignment="1">
      <alignment horizontal="center" wrapText="1"/>
    </xf>
    <xf numFmtId="3" fontId="9" fillId="2" borderId="18" xfId="0" applyNumberFormat="1" applyFont="1" applyFill="1" applyBorder="1" applyAlignment="1">
      <alignment horizontal="center" wrapText="1"/>
    </xf>
    <xf numFmtId="3" fontId="9" fillId="0" borderId="0" xfId="0" applyNumberFormat="1" applyFont="1" applyAlignment="1">
      <alignment horizontal="center"/>
    </xf>
    <xf numFmtId="3" fontId="9" fillId="2" borderId="0" xfId="0" applyNumberFormat="1" applyFont="1" applyFill="1" applyAlignment="1">
      <alignment horizontal="center"/>
    </xf>
    <xf numFmtId="3" fontId="9" fillId="0" borderId="19" xfId="0" applyNumberFormat="1" applyFont="1" applyBorder="1" applyAlignment="1">
      <alignment horizontal="center"/>
    </xf>
    <xf numFmtId="0" fontId="31" fillId="3" borderId="3" xfId="0" applyFont="1" applyFill="1" applyBorder="1" applyAlignment="1">
      <alignment horizontal="center" vertical="center" wrapText="1"/>
    </xf>
    <xf numFmtId="3" fontId="9" fillId="0" borderId="14" xfId="0" applyNumberFormat="1" applyFont="1" applyBorder="1" applyAlignment="1">
      <alignment horizontal="center" wrapText="1"/>
    </xf>
    <xf numFmtId="3" fontId="9" fillId="0" borderId="1" xfId="0" applyNumberFormat="1" applyFont="1" applyBorder="1" applyAlignment="1">
      <alignment horizontal="center" wrapText="1"/>
    </xf>
    <xf numFmtId="3" fontId="9" fillId="2" borderId="17" xfId="0" applyNumberFormat="1" applyFont="1" applyFill="1" applyBorder="1" applyAlignment="1">
      <alignment horizontal="center" wrapText="1"/>
    </xf>
    <xf numFmtId="3" fontId="31" fillId="0" borderId="3" xfId="0" applyNumberFormat="1" applyFont="1" applyBorder="1" applyAlignment="1">
      <alignment horizontal="center" wrapText="1"/>
    </xf>
    <xf numFmtId="3" fontId="3" fillId="0" borderId="3" xfId="0" applyNumberFormat="1" applyFont="1" applyBorder="1" applyAlignment="1">
      <alignment horizontal="center"/>
    </xf>
    <xf numFmtId="0" fontId="32" fillId="3" borderId="3" xfId="0" applyFont="1" applyFill="1" applyBorder="1" applyAlignment="1">
      <alignment horizontal="center" vertical="top" wrapText="1"/>
    </xf>
    <xf numFmtId="0" fontId="32" fillId="3" borderId="0" xfId="0" applyFont="1" applyFill="1" applyAlignment="1">
      <alignment horizontal="center" vertical="top" wrapText="1"/>
    </xf>
    <xf numFmtId="0" fontId="31" fillId="3" borderId="2" xfId="0" applyFont="1" applyFill="1" applyBorder="1" applyAlignment="1">
      <alignment horizontal="center" wrapText="1"/>
    </xf>
    <xf numFmtId="0" fontId="32" fillId="2" borderId="3" xfId="0" applyFont="1" applyFill="1" applyBorder="1" applyAlignment="1">
      <alignment horizontal="center" wrapText="1"/>
    </xf>
    <xf numFmtId="3" fontId="9" fillId="2" borderId="19" xfId="0" applyNumberFormat="1" applyFont="1" applyFill="1" applyBorder="1" applyAlignment="1">
      <alignment horizontal="center" wrapText="1"/>
    </xf>
    <xf numFmtId="3" fontId="32" fillId="0" borderId="3" xfId="0" applyNumberFormat="1" applyFont="1" applyBorder="1" applyAlignment="1">
      <alignment horizontal="center" wrapText="1"/>
    </xf>
    <xf numFmtId="3" fontId="20" fillId="0" borderId="0" xfId="0" applyNumberFormat="1" applyFont="1"/>
    <xf numFmtId="3" fontId="36" fillId="0" borderId="0" xfId="0" applyNumberFormat="1" applyFont="1"/>
    <xf numFmtId="0" fontId="31" fillId="3" borderId="0" xfId="0" applyFont="1" applyFill="1" applyAlignment="1">
      <alignment horizontal="center" vertical="top" wrapText="1"/>
    </xf>
    <xf numFmtId="3" fontId="31" fillId="2" borderId="19" xfId="0" applyNumberFormat="1" applyFont="1" applyFill="1" applyBorder="1" applyAlignment="1">
      <alignment horizontal="center" wrapText="1"/>
    </xf>
    <xf numFmtId="3" fontId="9" fillId="0" borderId="19" xfId="0" applyNumberFormat="1" applyFont="1" applyBorder="1" applyAlignment="1">
      <alignment horizontal="center" wrapText="1"/>
    </xf>
    <xf numFmtId="0" fontId="31" fillId="0" borderId="3" xfId="0" applyFont="1" applyBorder="1" applyAlignment="1">
      <alignment horizontal="center"/>
    </xf>
    <xf numFmtId="3" fontId="9" fillId="0" borderId="9" xfId="0" applyNumberFormat="1" applyFont="1" applyBorder="1" applyAlignment="1">
      <alignment horizontal="center" wrapText="1"/>
    </xf>
    <xf numFmtId="3" fontId="9" fillId="2" borderId="1" xfId="0" applyNumberFormat="1" applyFont="1" applyFill="1" applyBorder="1" applyAlignment="1">
      <alignment horizontal="center" wrapText="1"/>
    </xf>
    <xf numFmtId="0" fontId="31" fillId="3" borderId="1" xfId="0" applyFont="1" applyFill="1" applyBorder="1" applyAlignment="1">
      <alignment horizontal="center" vertical="center" wrapText="1"/>
    </xf>
    <xf numFmtId="0" fontId="31" fillId="2" borderId="8" xfId="0" applyFont="1" applyFill="1" applyBorder="1" applyAlignment="1">
      <alignment horizontal="center" wrapText="1"/>
    </xf>
    <xf numFmtId="0" fontId="31" fillId="3" borderId="3" xfId="0" applyFont="1" applyFill="1" applyBorder="1" applyAlignment="1">
      <alignment horizontal="center"/>
    </xf>
    <xf numFmtId="3" fontId="32" fillId="2" borderId="2" xfId="0" applyNumberFormat="1" applyFont="1" applyFill="1" applyBorder="1" applyAlignment="1">
      <alignment horizontal="center" wrapText="1"/>
    </xf>
    <xf numFmtId="3" fontId="7" fillId="0" borderId="0" xfId="0" applyNumberFormat="1" applyFont="1" applyAlignment="1">
      <alignment vertical="top"/>
    </xf>
    <xf numFmtId="3" fontId="3" fillId="2" borderId="3" xfId="0" applyNumberFormat="1" applyFont="1" applyFill="1" applyBorder="1" applyAlignment="1">
      <alignment horizontal="right"/>
    </xf>
    <xf numFmtId="3" fontId="0" fillId="0" borderId="0" xfId="0" applyNumberFormat="1" quotePrefix="1"/>
    <xf numFmtId="0" fontId="11" fillId="0" borderId="3" xfId="0" applyFont="1" applyBorder="1" applyAlignment="1">
      <alignment horizontal="center"/>
    </xf>
    <xf numFmtId="0" fontId="11" fillId="0" borderId="3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2" borderId="0" xfId="0" applyFont="1" applyFill="1" applyAlignment="1">
      <alignment horizontal="center"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5" Type="http://schemas.openxmlformats.org/officeDocument/2006/relationships/worksheet" Target="worksheets/sheet3.xml" /><Relationship Id="rId4" Type="http://schemas.openxmlformats.org/officeDocument/2006/relationships/worksheet" Target="worksheets/sheet2.xml" /><Relationship Id="rId1" Type="http://schemas.openxmlformats.org/officeDocument/2006/relationships/theme" Target="theme/theme1.xml" /><Relationship Id="rId8" Type="http://schemas.openxmlformats.org/officeDocument/2006/relationships/calcChain" Target="calcChain.xml" /><Relationship Id="rId3" Type="http://schemas.openxmlformats.org/officeDocument/2006/relationships/worksheet" Target="worksheets/sheet1.xml" /><Relationship Id="rId7" Type="http://schemas.openxmlformats.org/officeDocument/2006/relationships/sharedStrings" Target="sharedStrings.xml" /><Relationship Id="rId6" Type="http://schemas.openxmlformats.org/officeDocument/2006/relationships/worksheet" Target="worksheets/sheet4.xml" /><Relationship Id="rId2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77"/>
  <sheetViews>
    <sheetView workbookViewId="0" topLeftCell="A49">
      <selection pane="topLeft" activeCell="E68" sqref="E68"/>
    </sheetView>
  </sheetViews>
  <sheetFormatPr defaultColWidth="9.14428571428571" defaultRowHeight="15.75"/>
  <cols>
    <col min="1" max="1" width="65.7142857142857" style="24" customWidth="1"/>
    <col min="2" max="3" width="13.8571428571429" style="24" customWidth="1"/>
    <col min="4" max="4" width="13.5714285714286" style="24" customWidth="1"/>
    <col min="5" max="5" width="19.5714285714286" style="24" customWidth="1"/>
    <col min="6" max="6" width="11.2857142857143" style="24" bestFit="1" customWidth="1"/>
    <col min="7" max="16384" width="9.14285714285714" style="24"/>
  </cols>
  <sheetData>
    <row r="1" spans="5:5" ht="15.75">
      <c r="E1" s="20" t="s">
        <v>613</v>
      </c>
    </row>
    <row r="2" spans="5:5" ht="15.75">
      <c r="E2" s="18" t="s">
        <v>829</v>
      </c>
    </row>
    <row r="3" spans="5:5" ht="15.75">
      <c r="E3" s="18" t="s">
        <v>910</v>
      </c>
    </row>
    <row r="4" spans="5:5" ht="15.75">
      <c r="E4" s="18" t="s">
        <v>908</v>
      </c>
    </row>
    <row r="5" spans="5:5" ht="15.75">
      <c r="E5" s="18" t="s">
        <v>761</v>
      </c>
    </row>
    <row r="7" spans="1:9" ht="15.75">
      <c r="A7" s="19"/>
      <c r="C7" s="19"/>
      <c r="E7" s="20" t="s">
        <v>613</v>
      </c>
      <c r="F7" s="25"/>
      <c r="G7" s="25"/>
      <c r="H7" s="25"/>
      <c r="I7" s="25"/>
    </row>
    <row r="8" spans="1:9" ht="15.75">
      <c r="A8" s="19"/>
      <c r="C8" s="19"/>
      <c r="E8" s="18" t="s">
        <v>829</v>
      </c>
      <c r="F8" s="25"/>
      <c r="G8" s="25"/>
      <c r="H8" s="25"/>
      <c r="I8" s="25"/>
    </row>
    <row r="9" spans="1:12" ht="15.75">
      <c r="A9" s="19"/>
      <c r="C9" s="19"/>
      <c r="E9" s="18" t="s">
        <v>830</v>
      </c>
      <c r="F9" s="25"/>
      <c r="G9" s="25"/>
      <c r="H9" s="25"/>
      <c r="I9" s="25"/>
      <c r="J9" s="19"/>
      <c r="K9" s="19"/>
      <c r="L9" s="19"/>
    </row>
    <row r="10" spans="1:9" ht="15.75">
      <c r="A10" s="19"/>
      <c r="B10" s="18"/>
      <c r="C10" s="19"/>
      <c r="D10" s="18"/>
      <c r="E10" s="18" t="s">
        <v>761</v>
      </c>
      <c r="F10" s="25"/>
      <c r="G10" s="25"/>
      <c r="H10" s="25"/>
      <c r="I10" s="25"/>
    </row>
    <row r="11" s="25" customFormat="1" ht="15" customHeight="1"/>
    <row r="12" spans="1:3" s="25" customFormat="1" ht="15" customHeight="1">
      <c r="A12" s="14" t="s">
        <v>738</v>
      </c>
      <c r="B12" s="14"/>
      <c r="C12" s="14"/>
    </row>
    <row r="13" spans="3:3" s="25" customFormat="1" ht="15" customHeight="1">
      <c r="C13" s="26"/>
    </row>
    <row r="14" spans="1:5" s="25" customFormat="1" ht="52.5" customHeight="1">
      <c r="A14" s="27" t="s">
        <v>614</v>
      </c>
      <c r="B14" s="27" t="s">
        <v>615</v>
      </c>
      <c r="C14" s="28" t="s">
        <v>739</v>
      </c>
      <c r="D14" s="169" t="s">
        <v>833</v>
      </c>
      <c r="E14" s="169" t="s">
        <v>834</v>
      </c>
    </row>
    <row r="15" spans="1:6" s="25" customFormat="1" ht="30" customHeight="1">
      <c r="A15" s="29" t="s">
        <v>616</v>
      </c>
      <c r="B15" s="30"/>
      <c r="C15" s="31">
        <f>C16+C18+C20+C25+C28+C30+C32+C35+C37+C39+C41+C22</f>
        <v>35724649</v>
      </c>
      <c r="D15" s="186">
        <f>D37+D41+D35+D39+D16+D30+D18+D20+D22+D25+D28+D32</f>
        <v>794767</v>
      </c>
      <c r="E15" s="183">
        <f>C15+D15</f>
        <v>36519416</v>
      </c>
      <c r="F15" s="189"/>
    </row>
    <row r="16" spans="1:5" s="32" customFormat="1" ht="15" customHeight="1">
      <c r="A16" s="30" t="s">
        <v>350</v>
      </c>
      <c r="B16" s="30" t="s">
        <v>349</v>
      </c>
      <c r="C16" s="31">
        <f>C17</f>
        <v>11298140</v>
      </c>
      <c r="D16" s="227">
        <f>D17</f>
        <v>491132</v>
      </c>
      <c r="E16" s="183">
        <f t="shared" si="0" ref="E16:E43">C16+D16</f>
        <v>11789272</v>
      </c>
    </row>
    <row r="17" spans="1:5" s="25" customFormat="1" ht="15" customHeight="1">
      <c r="A17" s="33" t="s">
        <v>617</v>
      </c>
      <c r="B17" s="34" t="s">
        <v>618</v>
      </c>
      <c r="C17" s="35">
        <f>'2.pielikums'!I20</f>
        <v>11298140</v>
      </c>
      <c r="D17" s="173">
        <f>'2.pielikums'!J21</f>
        <v>491132</v>
      </c>
      <c r="E17" s="168">
        <f t="shared" si="0"/>
        <v>11789272</v>
      </c>
    </row>
    <row r="18" spans="1:5" s="25" customFormat="1" ht="15" customHeight="1">
      <c r="A18" s="36" t="s">
        <v>355</v>
      </c>
      <c r="B18" s="36" t="s">
        <v>354</v>
      </c>
      <c r="C18" s="37">
        <f>C19</f>
        <v>1129985</v>
      </c>
      <c r="D18" s="187">
        <f>'2.pielikums'!J22</f>
        <v>7176</v>
      </c>
      <c r="E18" s="183">
        <f t="shared" si="0"/>
        <v>1137161</v>
      </c>
    </row>
    <row r="19" spans="1:5" s="25" customFormat="1" ht="15" customHeight="1">
      <c r="A19" s="38" t="s">
        <v>619</v>
      </c>
      <c r="B19" s="39" t="s">
        <v>620</v>
      </c>
      <c r="C19" s="40">
        <f>'2.pielikums'!I23</f>
        <v>1129985</v>
      </c>
      <c r="D19" s="173">
        <f>'2.pielikums'!J22</f>
        <v>7176</v>
      </c>
      <c r="E19" s="168">
        <f t="shared" si="0"/>
        <v>1137161</v>
      </c>
    </row>
    <row r="20" spans="1:5" s="25" customFormat="1" ht="15" customHeight="1">
      <c r="A20" s="36" t="s">
        <v>621</v>
      </c>
      <c r="B20" s="36" t="s">
        <v>377</v>
      </c>
      <c r="C20" s="37">
        <f>C21</f>
        <v>45000</v>
      </c>
      <c r="D20" s="47">
        <f>'2.pielikums'!J34</f>
        <v>0</v>
      </c>
      <c r="E20" s="183">
        <f t="shared" si="0"/>
        <v>45000</v>
      </c>
    </row>
    <row r="21" spans="1:5" s="25" customFormat="1" ht="15" customHeight="1">
      <c r="A21" s="38" t="s">
        <v>622</v>
      </c>
      <c r="B21" s="39" t="s">
        <v>623</v>
      </c>
      <c r="C21" s="40">
        <f>'2.pielikums'!I34</f>
        <v>45000</v>
      </c>
      <c r="D21" s="47"/>
      <c r="E21" s="168">
        <f t="shared" si="0"/>
        <v>45000</v>
      </c>
    </row>
    <row r="22" spans="1:5" s="25" customFormat="1" ht="15" customHeight="1">
      <c r="A22" s="36" t="s">
        <v>624</v>
      </c>
      <c r="B22" s="36" t="s">
        <v>388</v>
      </c>
      <c r="C22" s="37">
        <v>54687</v>
      </c>
      <c r="D22" s="186">
        <f>'2.pielikums'!J40</f>
        <v>148626</v>
      </c>
      <c r="E22" s="183">
        <f>E24+E23</f>
        <v>203313</v>
      </c>
    </row>
    <row r="23" spans="1:5" s="25" customFormat="1" ht="15" customHeight="1">
      <c r="A23" s="38" t="s">
        <v>837</v>
      </c>
      <c r="B23" s="39" t="s">
        <v>836</v>
      </c>
      <c r="C23" s="40">
        <v>49687</v>
      </c>
      <c r="D23" s="173">
        <f>'2.pielikums'!J41</f>
        <v>148626</v>
      </c>
      <c r="E23" s="168">
        <f t="shared" si="0"/>
        <v>198313</v>
      </c>
    </row>
    <row r="24" spans="1:5" s="25" customFormat="1" ht="30" customHeight="1">
      <c r="A24" s="38" t="s">
        <v>391</v>
      </c>
      <c r="B24" s="39" t="s">
        <v>390</v>
      </c>
      <c r="C24" s="40">
        <f>'2.pielikums'!I42</f>
        <v>5000</v>
      </c>
      <c r="D24" s="47">
        <f>'2.pielikums'!J42</f>
        <v>0</v>
      </c>
      <c r="E24" s="168">
        <f t="shared" si="0"/>
        <v>5000</v>
      </c>
    </row>
    <row r="25" spans="1:5" s="25" customFormat="1" ht="15" customHeight="1">
      <c r="A25" s="36" t="s">
        <v>393</v>
      </c>
      <c r="B25" s="36" t="s">
        <v>392</v>
      </c>
      <c r="C25" s="37">
        <f>C26+C27</f>
        <v>18140</v>
      </c>
      <c r="D25" s="47">
        <f>'2.pielikums'!J43</f>
        <v>0</v>
      </c>
      <c r="E25" s="183">
        <f t="shared" si="0"/>
        <v>18140</v>
      </c>
    </row>
    <row r="26" spans="1:5" s="25" customFormat="1" ht="15" customHeight="1">
      <c r="A26" s="38" t="s">
        <v>625</v>
      </c>
      <c r="B26" s="39" t="s">
        <v>626</v>
      </c>
      <c r="C26" s="40">
        <f>'2.pielikums'!I44</f>
        <v>11690</v>
      </c>
      <c r="D26" s="47"/>
      <c r="E26" s="168">
        <f t="shared" si="0"/>
        <v>11690</v>
      </c>
    </row>
    <row r="27" spans="1:5" s="25" customFormat="1" ht="15" customHeight="1">
      <c r="A27" s="38" t="s">
        <v>627</v>
      </c>
      <c r="B27" s="39" t="s">
        <v>628</v>
      </c>
      <c r="C27" s="40">
        <f>'2.pielikums'!I49</f>
        <v>6450</v>
      </c>
      <c r="D27" s="47"/>
      <c r="E27" s="168">
        <f t="shared" si="0"/>
        <v>6450</v>
      </c>
    </row>
    <row r="28" spans="1:5" s="25" customFormat="1" ht="15" customHeight="1">
      <c r="A28" s="36" t="s">
        <v>417</v>
      </c>
      <c r="B28" s="36" t="s">
        <v>416</v>
      </c>
      <c r="C28" s="37">
        <f>C29</f>
        <v>4000</v>
      </c>
      <c r="D28" s="47">
        <f>'2.pielikums'!J55</f>
        <v>0</v>
      </c>
      <c r="E28" s="183">
        <f t="shared" si="0"/>
        <v>4000</v>
      </c>
    </row>
    <row r="29" spans="1:5" s="25" customFormat="1" ht="15" customHeight="1">
      <c r="A29" s="38" t="s">
        <v>629</v>
      </c>
      <c r="B29" s="39" t="s">
        <v>630</v>
      </c>
      <c r="C29" s="40">
        <f>'2.pielikums'!I55</f>
        <v>4000</v>
      </c>
      <c r="D29" s="47"/>
      <c r="E29" s="168">
        <f t="shared" si="0"/>
        <v>4000</v>
      </c>
    </row>
    <row r="30" spans="1:5" s="25" customFormat="1" ht="15" customHeight="1">
      <c r="A30" s="36" t="s">
        <v>427</v>
      </c>
      <c r="B30" s="36" t="s">
        <v>426</v>
      </c>
      <c r="C30" s="37">
        <f>C31</f>
        <v>68969</v>
      </c>
      <c r="D30" s="227">
        <f>'2.pielikums'!J60</f>
        <v>2300</v>
      </c>
      <c r="E30" s="183">
        <f t="shared" si="0"/>
        <v>71269</v>
      </c>
    </row>
    <row r="31" spans="1:5" s="25" customFormat="1" ht="15" customHeight="1">
      <c r="A31" s="41" t="s">
        <v>631</v>
      </c>
      <c r="B31" s="39" t="s">
        <v>632</v>
      </c>
      <c r="C31" s="40">
        <f>'2.pielikums'!I60</f>
        <v>68969</v>
      </c>
      <c r="D31" s="173">
        <f>'2.pielikums'!J61</f>
        <v>2300</v>
      </c>
      <c r="E31" s="168">
        <f t="shared" si="0"/>
        <v>71269</v>
      </c>
    </row>
    <row r="32" spans="1:5" s="25" customFormat="1" ht="30" customHeight="1">
      <c r="A32" s="36" t="s">
        <v>633</v>
      </c>
      <c r="B32" s="36" t="s">
        <v>434</v>
      </c>
      <c r="C32" s="37">
        <f>C33+C34</f>
        <v>520000</v>
      </c>
      <c r="D32" s="191">
        <f>'2.pielikums'!J70</f>
        <v>-100994</v>
      </c>
      <c r="E32" s="183">
        <f t="shared" si="0"/>
        <v>419006</v>
      </c>
    </row>
    <row r="33" spans="1:5" s="25" customFormat="1" ht="15" customHeight="1">
      <c r="A33" s="38" t="s">
        <v>634</v>
      </c>
      <c r="B33" s="42" t="s">
        <v>635</v>
      </c>
      <c r="C33" s="40">
        <f>'2.pielikums'!I71</f>
        <v>20000</v>
      </c>
      <c r="D33" s="173">
        <f>'2.pielikums'!J71</f>
        <v>19006</v>
      </c>
      <c r="E33" s="168">
        <f t="shared" si="0"/>
        <v>39006</v>
      </c>
    </row>
    <row r="34" spans="1:5" s="25" customFormat="1" ht="15" customHeight="1">
      <c r="A34" s="38" t="s">
        <v>636</v>
      </c>
      <c r="B34" s="42" t="s">
        <v>637</v>
      </c>
      <c r="C34" s="40">
        <f>'2.pielikums'!I72</f>
        <v>500000</v>
      </c>
      <c r="D34" s="173">
        <f>'2.pielikums'!J72</f>
        <v>-120000</v>
      </c>
      <c r="E34" s="168">
        <f t="shared" si="0"/>
        <v>380000</v>
      </c>
    </row>
    <row r="35" spans="1:5" s="25" customFormat="1" ht="30" customHeight="1">
      <c r="A35" s="36" t="s">
        <v>638</v>
      </c>
      <c r="B35" s="36" t="s">
        <v>444</v>
      </c>
      <c r="C35" s="37">
        <f>C36</f>
        <v>149591</v>
      </c>
      <c r="D35" s="191">
        <f>D36</f>
        <v>0</v>
      </c>
      <c r="E35" s="183">
        <f>C35+D35</f>
        <v>149591</v>
      </c>
    </row>
    <row r="36" spans="1:5" s="25" customFormat="1" ht="15" customHeight="1">
      <c r="A36" s="38" t="s">
        <v>639</v>
      </c>
      <c r="B36" s="39" t="s">
        <v>640</v>
      </c>
      <c r="C36" s="40">
        <f>'2.pielikums'!I75</f>
        <v>149591</v>
      </c>
      <c r="D36" s="187">
        <f>'2.pielikums'!J76</f>
        <v>0</v>
      </c>
      <c r="E36" s="168">
        <f t="shared" si="0"/>
        <v>149591</v>
      </c>
    </row>
    <row r="37" spans="1:5" s="25" customFormat="1" ht="15" customHeight="1">
      <c r="A37" s="36" t="s">
        <v>641</v>
      </c>
      <c r="B37" s="36" t="s">
        <v>449</v>
      </c>
      <c r="C37" s="37">
        <f>C38</f>
        <v>16967628</v>
      </c>
      <c r="D37" s="186">
        <f>D38</f>
        <v>129180</v>
      </c>
      <c r="E37" s="183">
        <f>C37+D37</f>
        <v>17096808</v>
      </c>
    </row>
    <row r="38" spans="1:5" s="25" customFormat="1" ht="15" customHeight="1">
      <c r="A38" s="38" t="s">
        <v>642</v>
      </c>
      <c r="B38" s="39" t="s">
        <v>895</v>
      </c>
      <c r="C38" s="40">
        <f>'2.pielikums'!I80</f>
        <v>16967628</v>
      </c>
      <c r="D38" s="48">
        <f>'2.pielikums'!J80</f>
        <v>129180</v>
      </c>
      <c r="E38" s="168">
        <f>C38+D38</f>
        <v>17096808</v>
      </c>
    </row>
    <row r="39" spans="1:5" s="25" customFormat="1" ht="15" customHeight="1">
      <c r="A39" s="36" t="s">
        <v>696</v>
      </c>
      <c r="B39" s="36" t="s">
        <v>697</v>
      </c>
      <c r="C39" s="37">
        <f>C40</f>
        <v>116000</v>
      </c>
      <c r="D39" s="191">
        <f>D40</f>
        <v>36389</v>
      </c>
      <c r="E39" s="183">
        <f t="shared" si="0"/>
        <v>152389</v>
      </c>
    </row>
    <row r="40" spans="1:5" s="25" customFormat="1" ht="15" customHeight="1">
      <c r="A40" s="38" t="s">
        <v>698</v>
      </c>
      <c r="B40" s="39" t="s">
        <v>699</v>
      </c>
      <c r="C40" s="40">
        <f>'2.pielikums'!I167</f>
        <v>116000</v>
      </c>
      <c r="D40" s="187">
        <f>'2.pielikums'!J168</f>
        <v>36389</v>
      </c>
      <c r="E40" s="168">
        <f t="shared" si="0"/>
        <v>152389</v>
      </c>
    </row>
    <row r="41" spans="1:5" s="25" customFormat="1" ht="15" customHeight="1">
      <c r="A41" s="36" t="s">
        <v>643</v>
      </c>
      <c r="B41" s="36" t="s">
        <v>644</v>
      </c>
      <c r="C41" s="37">
        <f>SUM(C42:C44)</f>
        <v>5352509</v>
      </c>
      <c r="D41" s="37">
        <f>SUM(D42:D44)</f>
        <v>80958</v>
      </c>
      <c r="E41" s="183">
        <f>C41+D41</f>
        <v>5433467</v>
      </c>
    </row>
    <row r="42" spans="1:5" s="25" customFormat="1" ht="15" customHeight="1">
      <c r="A42" s="38" t="s">
        <v>824</v>
      </c>
      <c r="B42" s="39" t="s">
        <v>827</v>
      </c>
      <c r="C42" s="40">
        <f>'2.pielikums'!I171</f>
        <v>169672</v>
      </c>
      <c r="D42" s="173"/>
      <c r="E42" s="168">
        <f t="shared" si="0"/>
        <v>169672</v>
      </c>
    </row>
    <row r="43" spans="1:5" s="25" customFormat="1" ht="30" customHeight="1">
      <c r="A43" s="38" t="s">
        <v>645</v>
      </c>
      <c r="B43" s="39" t="s">
        <v>646</v>
      </c>
      <c r="C43" s="40">
        <f>'2.pielikums'!I173</f>
        <v>4993232</v>
      </c>
      <c r="D43" s="173">
        <f>'2.pielikums'!J173</f>
        <v>80958</v>
      </c>
      <c r="E43" s="168">
        <f t="shared" si="0"/>
        <v>5074190</v>
      </c>
    </row>
    <row r="44" spans="1:5" s="25" customFormat="1" ht="30" customHeight="1">
      <c r="A44" s="38" t="s">
        <v>647</v>
      </c>
      <c r="B44" s="39" t="s">
        <v>648</v>
      </c>
      <c r="C44" s="40">
        <f>'2.pielikums'!I460</f>
        <v>189605</v>
      </c>
      <c r="D44" s="173">
        <f>'2.pielikums'!J460</f>
        <v>0</v>
      </c>
      <c r="E44" s="168">
        <f>C44+D44</f>
        <v>189605</v>
      </c>
    </row>
    <row r="45" spans="1:6" s="25" customFormat="1" ht="30" customHeight="1">
      <c r="A45" s="43" t="s">
        <v>649</v>
      </c>
      <c r="B45" s="36" t="s">
        <v>650</v>
      </c>
      <c r="C45" s="44">
        <f>C46</f>
        <v>38627588</v>
      </c>
      <c r="D45" s="186">
        <f>D46</f>
        <v>473049.21000000043</v>
      </c>
      <c r="E45" s="183">
        <f>E46</f>
        <v>39100637.210000001</v>
      </c>
      <c r="F45" s="189"/>
    </row>
    <row r="46" spans="1:6" s="25" customFormat="1" ht="30" customHeight="1">
      <c r="A46" s="45" t="s">
        <v>651</v>
      </c>
      <c r="B46" s="46"/>
      <c r="C46" s="44">
        <f>SUM(C47:C55)</f>
        <v>38627588</v>
      </c>
      <c r="D46" s="44">
        <f>SUM(D47:D55)</f>
        <v>473049.21000000043</v>
      </c>
      <c r="E46" s="183">
        <f>SUM(E47:E55)</f>
        <v>39100637.210000001</v>
      </c>
      <c r="F46" s="189"/>
    </row>
    <row r="47" spans="1:6" s="25" customFormat="1" ht="15" customHeight="1">
      <c r="A47" s="36" t="s">
        <v>270</v>
      </c>
      <c r="B47" s="36" t="s">
        <v>269</v>
      </c>
      <c r="C47" s="44">
        <v>3930407</v>
      </c>
      <c r="D47" s="173">
        <f>E47-C47</f>
        <v>49210</v>
      </c>
      <c r="E47" s="183">
        <f>'3.pielikums'!H18</f>
        <v>3979617</v>
      </c>
      <c r="F47" s="189"/>
    </row>
    <row r="48" spans="1:6" s="25" customFormat="1" ht="15" customHeight="1">
      <c r="A48" s="36" t="s">
        <v>272</v>
      </c>
      <c r="B48" s="36" t="s">
        <v>271</v>
      </c>
      <c r="C48" s="44">
        <v>322694</v>
      </c>
      <c r="D48" s="173">
        <f>E48-C48</f>
        <v>14889</v>
      </c>
      <c r="E48" s="183">
        <f>'3.pielikums'!H51</f>
        <v>337583</v>
      </c>
      <c r="F48" s="189"/>
    </row>
    <row r="49" spans="1:6" s="25" customFormat="1" ht="15" customHeight="1">
      <c r="A49" s="36" t="s">
        <v>274</v>
      </c>
      <c r="B49" s="36" t="s">
        <v>273</v>
      </c>
      <c r="C49" s="44">
        <v>2219258</v>
      </c>
      <c r="D49" s="48">
        <f t="shared" si="1" ref="D49:D55">E49-C49</f>
        <v>40518</v>
      </c>
      <c r="E49" s="183">
        <f>'3.pielikums'!H55</f>
        <v>2259776</v>
      </c>
      <c r="F49" s="189"/>
    </row>
    <row r="50" spans="1:6" s="25" customFormat="1" ht="15" customHeight="1">
      <c r="A50" s="36" t="s">
        <v>279</v>
      </c>
      <c r="B50" s="36" t="s">
        <v>278</v>
      </c>
      <c r="C50" s="44">
        <v>192324</v>
      </c>
      <c r="D50" s="48">
        <f>E50-C50</f>
        <v>7467</v>
      </c>
      <c r="E50" s="183">
        <f>'3.pielikums'!H89</f>
        <v>199791</v>
      </c>
      <c r="F50" s="189"/>
    </row>
    <row r="51" spans="1:6" s="25" customFormat="1" ht="15" customHeight="1">
      <c r="A51" s="36" t="s">
        <v>652</v>
      </c>
      <c r="B51" s="36" t="s">
        <v>280</v>
      </c>
      <c r="C51" s="44">
        <v>5277432</v>
      </c>
      <c r="D51" s="48">
        <f t="shared" si="1"/>
        <v>33648</v>
      </c>
      <c r="E51" s="183">
        <f>'3.pielikums'!H112</f>
        <v>5311080</v>
      </c>
      <c r="F51" s="189"/>
    </row>
    <row r="52" spans="1:6" s="25" customFormat="1" ht="15" customHeight="1">
      <c r="A52" s="36" t="s">
        <v>287</v>
      </c>
      <c r="B52" s="36" t="s">
        <v>286</v>
      </c>
      <c r="C52" s="44">
        <v>150076</v>
      </c>
      <c r="D52" s="48">
        <f t="shared" si="1"/>
        <v>5520</v>
      </c>
      <c r="E52" s="183">
        <f>'3.pielikums'!H182</f>
        <v>155596</v>
      </c>
      <c r="F52" s="189"/>
    </row>
    <row r="53" spans="1:6" s="25" customFormat="1" ht="15" customHeight="1">
      <c r="A53" s="36" t="s">
        <v>653</v>
      </c>
      <c r="B53" s="36" t="s">
        <v>297</v>
      </c>
      <c r="C53" s="44">
        <v>2796785</v>
      </c>
      <c r="D53" s="48">
        <f t="shared" si="1"/>
        <v>54383.229999999981</v>
      </c>
      <c r="E53" s="183">
        <f>'3.pielikums'!H193</f>
        <v>2851168.23</v>
      </c>
      <c r="F53" s="189"/>
    </row>
    <row r="54" spans="1:7" s="25" customFormat="1" ht="15" customHeight="1">
      <c r="A54" s="36" t="s">
        <v>311</v>
      </c>
      <c r="B54" s="36" t="s">
        <v>310</v>
      </c>
      <c r="C54" s="44">
        <v>17512682</v>
      </c>
      <c r="D54" s="48">
        <f>E54-C54</f>
        <v>188547.98000000045</v>
      </c>
      <c r="E54" s="188">
        <f>'3.pielikums'!H248</f>
        <v>17701229.98</v>
      </c>
      <c r="F54" s="189"/>
      <c r="G54" s="189"/>
    </row>
    <row r="55" spans="1:8" s="25" customFormat="1" ht="15" customHeight="1">
      <c r="A55" s="36" t="s">
        <v>325</v>
      </c>
      <c r="B55" s="36" t="s">
        <v>324</v>
      </c>
      <c r="C55" s="44">
        <v>6225930</v>
      </c>
      <c r="D55" s="48">
        <f t="shared" si="1"/>
        <v>78866</v>
      </c>
      <c r="E55" s="183">
        <f>'3.pielikums'!H324</f>
        <v>6304796</v>
      </c>
      <c r="F55" s="189"/>
      <c r="H55" s="189"/>
    </row>
    <row r="56" spans="1:6" s="25" customFormat="1" ht="30" customHeight="1">
      <c r="A56" s="45" t="s">
        <v>654</v>
      </c>
      <c r="B56" s="46"/>
      <c r="C56" s="37">
        <f>SUM(C57:C63)</f>
        <v>38627588</v>
      </c>
      <c r="D56" s="37">
        <f>D57+D58+D59+D60+D61+D62+D63</f>
        <v>473049.21000000043</v>
      </c>
      <c r="E56" s="183">
        <f>SUM(E57:E63)</f>
        <v>39100637.210000001</v>
      </c>
      <c r="F56" s="199"/>
    </row>
    <row r="57" spans="1:6" s="25" customFormat="1" ht="15" customHeight="1">
      <c r="A57" s="36" t="s">
        <v>655</v>
      </c>
      <c r="B57" s="36" t="s">
        <v>656</v>
      </c>
      <c r="C57" s="37">
        <v>24429513</v>
      </c>
      <c r="D57" s="173">
        <f t="shared" si="2" ref="D57:D63">E57-C57</f>
        <v>323144.98000000045</v>
      </c>
      <c r="E57" s="183">
        <f>'4.pielikums'!C523</f>
        <v>24752657.98</v>
      </c>
      <c r="F57" s="199"/>
    </row>
    <row r="58" spans="1:6" s="25" customFormat="1" ht="15" customHeight="1">
      <c r="A58" s="36" t="s">
        <v>88</v>
      </c>
      <c r="B58" s="36" t="s">
        <v>657</v>
      </c>
      <c r="C58" s="37">
        <v>9170769</v>
      </c>
      <c r="D58" s="173">
        <f t="shared" si="2"/>
        <v>167990</v>
      </c>
      <c r="E58" s="183">
        <f>'4.pielikums'!F523</f>
        <v>9338759</v>
      </c>
      <c r="F58" s="199"/>
    </row>
    <row r="59" spans="1:6" s="25" customFormat="1" ht="15" customHeight="1">
      <c r="A59" s="36" t="s">
        <v>89</v>
      </c>
      <c r="B59" s="36" t="s">
        <v>658</v>
      </c>
      <c r="C59" s="37">
        <v>102031</v>
      </c>
      <c r="D59" s="173">
        <f t="shared" si="2"/>
        <v>4285</v>
      </c>
      <c r="E59" s="183">
        <f>'4.pielikums'!L523</f>
        <v>106316</v>
      </c>
      <c r="F59" s="199"/>
    </row>
    <row r="60" spans="1:6" s="25" customFormat="1" ht="15" customHeight="1">
      <c r="A60" s="36" t="s">
        <v>659</v>
      </c>
      <c r="B60" s="36" t="s">
        <v>660</v>
      </c>
      <c r="C60" s="37">
        <v>860221</v>
      </c>
      <c r="D60" s="173">
        <f t="shared" si="2"/>
        <v>35017</v>
      </c>
      <c r="E60" s="183">
        <f>'4.pielikums'!M523</f>
        <v>895238</v>
      </c>
      <c r="F60" s="199"/>
    </row>
    <row r="61" spans="1:6" s="25" customFormat="1" ht="15" customHeight="1">
      <c r="A61" s="36" t="s">
        <v>91</v>
      </c>
      <c r="B61" s="36" t="s">
        <v>661</v>
      </c>
      <c r="C61" s="37">
        <v>2119007</v>
      </c>
      <c r="D61" s="173">
        <f t="shared" si="2"/>
        <v>-60569</v>
      </c>
      <c r="E61" s="183">
        <f>'4.pielikums'!N523</f>
        <v>2058438</v>
      </c>
      <c r="F61" s="199"/>
    </row>
    <row r="62" spans="1:6" s="25" customFormat="1" ht="15" customHeight="1">
      <c r="A62" s="36" t="s">
        <v>238</v>
      </c>
      <c r="B62" s="36" t="s">
        <v>662</v>
      </c>
      <c r="C62" s="37">
        <v>1709061</v>
      </c>
      <c r="D62" s="173">
        <f t="shared" si="2"/>
        <v>-15690</v>
      </c>
      <c r="E62" s="183">
        <f>'4.pielikums'!O523</f>
        <v>1693371</v>
      </c>
      <c r="F62" s="199"/>
    </row>
    <row r="63" spans="1:6" s="25" customFormat="1" ht="30" customHeight="1">
      <c r="A63" s="36" t="s">
        <v>663</v>
      </c>
      <c r="B63" s="36" t="s">
        <v>664</v>
      </c>
      <c r="C63" s="37">
        <v>236986</v>
      </c>
      <c r="D63" s="173">
        <f t="shared" si="2"/>
        <v>18871.229999999981</v>
      </c>
      <c r="E63" s="183">
        <f>'4.pielikums'!P523</f>
        <v>255857.22999999998</v>
      </c>
      <c r="F63" s="244"/>
    </row>
    <row r="64" spans="1:5" s="25" customFormat="1" ht="30" customHeight="1">
      <c r="A64" s="47"/>
      <c r="B64" s="47"/>
      <c r="C64" s="48"/>
      <c r="D64" s="187"/>
      <c r="E64" s="183">
        <f>C64</f>
        <v>0</v>
      </c>
    </row>
    <row r="65" spans="1:5" s="25" customFormat="1" ht="15" customHeight="1">
      <c r="A65" s="43" t="s">
        <v>665</v>
      </c>
      <c r="B65" s="36" t="s">
        <v>650</v>
      </c>
      <c r="C65" s="37">
        <f>C15-C45</f>
        <v>-2902939</v>
      </c>
      <c r="D65" s="173">
        <f>D15-D45</f>
        <v>321717.78999999957</v>
      </c>
      <c r="E65" s="183">
        <f>C65+D65</f>
        <v>-2581221.2100000004</v>
      </c>
    </row>
    <row r="66" spans="1:5" s="25" customFormat="1" ht="30" customHeight="1">
      <c r="A66" s="43" t="s">
        <v>666</v>
      </c>
      <c r="B66" s="36" t="s">
        <v>650</v>
      </c>
      <c r="C66" s="44">
        <f>C67+C72</f>
        <v>2902939</v>
      </c>
      <c r="D66" s="44">
        <f>D67+D72</f>
        <v>-321718</v>
      </c>
      <c r="E66" s="183">
        <f>C66+D66</f>
        <v>2581221</v>
      </c>
    </row>
    <row r="67" spans="1:5" s="49" customFormat="1" ht="15" customHeight="1">
      <c r="A67" s="36" t="s">
        <v>667</v>
      </c>
      <c r="B67" s="36" t="s">
        <v>668</v>
      </c>
      <c r="C67" s="44">
        <f>C68+C69</f>
        <v>934452</v>
      </c>
      <c r="D67" s="201">
        <f>D68+D69</f>
        <v>-138858</v>
      </c>
      <c r="E67" s="183">
        <f>C67+D67</f>
        <v>795594</v>
      </c>
    </row>
    <row r="68" spans="1:5" s="50" customFormat="1" ht="15" customHeight="1">
      <c r="A68" s="36" t="s">
        <v>669</v>
      </c>
      <c r="B68" s="36" t="s">
        <v>670</v>
      </c>
      <c r="C68" s="44">
        <v>8824</v>
      </c>
      <c r="D68" s="83"/>
      <c r="E68" s="183">
        <f>C68+D68</f>
        <v>8824</v>
      </c>
    </row>
    <row r="69" spans="1:5" s="51" customFormat="1" ht="15" customHeight="1">
      <c r="A69" s="36" t="s">
        <v>671</v>
      </c>
      <c r="B69" s="36" t="s">
        <v>672</v>
      </c>
      <c r="C69" s="44">
        <f>C70-C71</f>
        <v>925628</v>
      </c>
      <c r="D69" s="127">
        <f>D70-D71</f>
        <v>-138858</v>
      </c>
      <c r="E69" s="183">
        <f>C69+D69</f>
        <v>786770</v>
      </c>
    </row>
    <row r="70" spans="1:5" s="25" customFormat="1" ht="15" customHeight="1">
      <c r="A70" s="36" t="s">
        <v>673</v>
      </c>
      <c r="B70" s="36" t="s">
        <v>674</v>
      </c>
      <c r="C70" s="44">
        <v>1398918</v>
      </c>
      <c r="D70" s="84"/>
      <c r="E70" s="183">
        <f>C70</f>
        <v>1398918</v>
      </c>
    </row>
    <row r="71" spans="1:5" s="25" customFormat="1" ht="30" customHeight="1">
      <c r="A71" s="36" t="s">
        <v>675</v>
      </c>
      <c r="B71" s="36" t="s">
        <v>868</v>
      </c>
      <c r="C71" s="44">
        <v>473290</v>
      </c>
      <c r="D71" s="157">
        <v>138858</v>
      </c>
      <c r="E71" s="183">
        <f>C71+D71</f>
        <v>612148</v>
      </c>
    </row>
    <row r="72" spans="1:5" s="25" customFormat="1" ht="15" customHeight="1">
      <c r="A72" s="36" t="s">
        <v>268</v>
      </c>
      <c r="B72" s="36" t="s">
        <v>676</v>
      </c>
      <c r="C72" s="44">
        <f>C73-C74</f>
        <v>1968487</v>
      </c>
      <c r="D72" s="44">
        <f>D73-D74</f>
        <v>-182860</v>
      </c>
      <c r="E72" s="183">
        <f>C72+D72</f>
        <v>1785627</v>
      </c>
    </row>
    <row r="73" spans="1:6" s="25" customFormat="1" ht="15" customHeight="1">
      <c r="A73" s="36" t="s">
        <v>677</v>
      </c>
      <c r="B73" s="36" t="s">
        <v>681</v>
      </c>
      <c r="C73" s="44">
        <v>3477399</v>
      </c>
      <c r="D73" s="47"/>
      <c r="E73" s="183">
        <f>C73</f>
        <v>3477399</v>
      </c>
      <c r="F73" s="189"/>
    </row>
    <row r="74" spans="1:5" s="25" customFormat="1" ht="15" customHeight="1">
      <c r="A74" s="36" t="s">
        <v>678</v>
      </c>
      <c r="B74" s="36" t="s">
        <v>679</v>
      </c>
      <c r="C74" s="52">
        <v>1508912</v>
      </c>
      <c r="D74" s="187">
        <v>182860</v>
      </c>
      <c r="E74" s="183">
        <f>C74+D74</f>
        <v>1691772</v>
      </c>
    </row>
    <row r="77" spans="1:1" ht="18.75">
      <c r="A77" s="77" t="s">
        <v>819</v>
      </c>
    </row>
  </sheetData>
  <mergeCells count="1">
    <mergeCell ref="A12:C12"/>
  </mergeCells>
  <pageMargins left="0.25" right="0.25" top="0.75" bottom="0.75" header="0.3" footer="0.3"/>
  <pageSetup orientation="portrait" paperSize="9" scale="75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474"/>
  <sheetViews>
    <sheetView tabSelected="1" workbookViewId="0" topLeftCell="A1">
      <selection pane="topLeft" activeCell="L7" sqref="L7"/>
    </sheetView>
  </sheetViews>
  <sheetFormatPr defaultColWidth="9.14428571428571" defaultRowHeight="15.75"/>
  <cols>
    <col min="1" max="1" width="14.2857142857143" style="139" customWidth="1"/>
    <col min="2" max="2" width="48.2857142857143" style="139" customWidth="1"/>
    <col min="3" max="3" width="15.8571428571429" style="139" customWidth="1"/>
    <col min="4" max="4" width="12.2857142857143" style="139" customWidth="1"/>
    <col min="5" max="5" width="15.7142857142857" style="139" customWidth="1"/>
    <col min="6" max="6" width="11.2857142857143" style="139" customWidth="1"/>
    <col min="7" max="7" width="15.8571428571429" style="139" customWidth="1"/>
    <col min="8" max="8" width="14.4285714285714" style="139" customWidth="1"/>
    <col min="9" max="9" width="15.7142857142857" style="139" customWidth="1"/>
    <col min="10" max="10" width="11.8571428571429" style="76" customWidth="1"/>
    <col min="11" max="11" width="14.8571428571429" style="57" customWidth="1"/>
    <col min="12" max="12" width="9.85714285714286" style="74" bestFit="1" customWidth="1"/>
    <col min="13" max="16384" width="9.14285714285714" style="74"/>
  </cols>
  <sheetData>
    <row r="1" spans="10:11" ht="15" customHeight="1">
      <c r="J1" s="184"/>
      <c r="K1" s="184"/>
    </row>
    <row r="2" spans="1:11" ht="15" customHeight="1">
      <c r="A2" s="140"/>
      <c r="B2" s="148"/>
      <c r="C2" s="146"/>
      <c r="D2" s="146"/>
      <c r="E2" s="146"/>
      <c r="F2" s="146"/>
      <c r="G2" s="146"/>
      <c r="H2" s="146"/>
      <c r="I2" s="152"/>
      <c r="J2" s="184"/>
      <c r="K2" s="152" t="s">
        <v>339</v>
      </c>
    </row>
    <row r="3" spans="1:11" ht="15" customHeight="1">
      <c r="A3" s="140"/>
      <c r="B3" s="148"/>
      <c r="C3" s="146"/>
      <c r="D3" s="146"/>
      <c r="E3" s="146"/>
      <c r="F3" s="146"/>
      <c r="G3" s="146"/>
      <c r="H3" s="146"/>
      <c r="I3" s="147"/>
      <c r="J3" s="184"/>
      <c r="K3" s="147" t="s">
        <v>829</v>
      </c>
    </row>
    <row r="4" spans="1:11" ht="15" customHeight="1">
      <c r="A4" s="140"/>
      <c r="E4" s="147"/>
      <c r="F4" s="147"/>
      <c r="G4" s="147"/>
      <c r="H4" s="147"/>
      <c r="I4" s="147"/>
      <c r="J4" s="184"/>
      <c r="K4" s="147" t="s">
        <v>910</v>
      </c>
    </row>
    <row r="5" spans="1:11" ht="15" customHeight="1">
      <c r="A5" s="140"/>
      <c r="E5" s="147"/>
      <c r="F5" s="147"/>
      <c r="G5" s="147"/>
      <c r="H5" s="147"/>
      <c r="I5" s="147"/>
      <c r="J5" s="184"/>
      <c r="K5" s="147" t="s">
        <v>835</v>
      </c>
    </row>
    <row r="6" spans="1:11" ht="15" customHeight="1">
      <c r="A6" s="140"/>
      <c r="B6" s="160"/>
      <c r="E6" s="147"/>
      <c r="F6" s="147"/>
      <c r="G6" s="147"/>
      <c r="H6" s="147"/>
      <c r="I6" s="147"/>
      <c r="J6" s="184"/>
      <c r="K6" s="147" t="s">
        <v>761</v>
      </c>
    </row>
    <row r="7" spans="1:11" ht="15" customHeight="1">
      <c r="A7" s="140"/>
      <c r="B7" s="160"/>
      <c r="E7" s="147"/>
      <c r="F7" s="147"/>
      <c r="G7" s="147"/>
      <c r="H7" s="147"/>
      <c r="I7" s="147"/>
      <c r="J7" s="184"/>
      <c r="K7" s="184"/>
    </row>
    <row r="8" spans="1:11" ht="15" customHeight="1">
      <c r="A8" s="140"/>
      <c r="B8" s="160"/>
      <c r="E8" s="147"/>
      <c r="F8" s="147"/>
      <c r="G8" s="147"/>
      <c r="H8" s="147"/>
      <c r="I8" s="152"/>
      <c r="J8" s="184"/>
      <c r="K8" s="152" t="s">
        <v>339</v>
      </c>
    </row>
    <row r="9" spans="1:11" ht="15" customHeight="1">
      <c r="A9" s="140"/>
      <c r="B9" s="160"/>
      <c r="E9" s="147"/>
      <c r="F9" s="147"/>
      <c r="G9" s="147"/>
      <c r="H9" s="147"/>
      <c r="I9" s="147"/>
      <c r="J9" s="184"/>
      <c r="K9" s="147" t="s">
        <v>829</v>
      </c>
    </row>
    <row r="10" spans="1:11" ht="15" customHeight="1">
      <c r="A10" s="140"/>
      <c r="B10" s="160"/>
      <c r="E10" s="147"/>
      <c r="F10" s="147"/>
      <c r="G10" s="147"/>
      <c r="H10" s="147"/>
      <c r="I10" s="147"/>
      <c r="J10" s="184"/>
      <c r="K10" s="147" t="s">
        <v>830</v>
      </c>
    </row>
    <row r="11" spans="1:11" ht="15" customHeight="1">
      <c r="A11" s="140"/>
      <c r="B11" s="160"/>
      <c r="E11" s="147"/>
      <c r="F11" s="147"/>
      <c r="G11" s="147"/>
      <c r="H11" s="147"/>
      <c r="I11" s="147"/>
      <c r="J11" s="184"/>
      <c r="K11" s="147" t="s">
        <v>761</v>
      </c>
    </row>
    <row r="12" spans="1:11" ht="15" customHeight="1">
      <c r="A12" s="140"/>
      <c r="B12" s="161"/>
      <c r="C12" s="148"/>
      <c r="D12" s="148"/>
      <c r="E12" s="148"/>
      <c r="F12" s="148"/>
      <c r="G12" s="148"/>
      <c r="H12" s="148"/>
      <c r="I12" s="148"/>
      <c r="J12" s="184"/>
      <c r="K12" s="184"/>
    </row>
    <row r="13" spans="1:11" ht="15" customHeight="1">
      <c r="A13" s="12" t="s">
        <v>765</v>
      </c>
      <c r="B13" s="12"/>
      <c r="C13" s="12"/>
      <c r="D13" s="12"/>
      <c r="E13" s="12"/>
      <c r="F13" s="12"/>
      <c r="G13" s="12"/>
      <c r="H13" s="12"/>
      <c r="I13" s="12"/>
      <c r="J13" s="184"/>
      <c r="K13" s="184"/>
    </row>
    <row r="14" spans="1:11" ht="15" customHeight="1">
      <c r="A14" s="140"/>
      <c r="B14" s="140"/>
      <c r="C14" s="148"/>
      <c r="D14" s="148"/>
      <c r="E14" s="148"/>
      <c r="F14" s="148"/>
      <c r="G14" s="148"/>
      <c r="H14" s="148"/>
      <c r="I14" s="148"/>
      <c r="J14" s="185"/>
      <c r="K14" s="185"/>
    </row>
    <row r="15" spans="1:11" ht="15" customHeight="1">
      <c r="A15" s="11" t="s">
        <v>261</v>
      </c>
      <c r="B15" s="10" t="s">
        <v>340</v>
      </c>
      <c r="C15" s="8" t="s">
        <v>341</v>
      </c>
      <c r="D15" s="7"/>
      <c r="E15" s="7"/>
      <c r="F15" s="7"/>
      <c r="G15" s="7"/>
      <c r="H15" s="6"/>
      <c r="I15" s="9" t="s">
        <v>342</v>
      </c>
      <c r="J15" s="13" t="s">
        <v>890</v>
      </c>
      <c r="K15" s="13" t="s">
        <v>838</v>
      </c>
    </row>
    <row r="16" spans="1:11" ht="64.5" customHeight="1">
      <c r="A16" s="11"/>
      <c r="B16" s="10"/>
      <c r="C16" s="149" t="s">
        <v>343</v>
      </c>
      <c r="D16" s="174" t="s">
        <v>889</v>
      </c>
      <c r="E16" s="149" t="s">
        <v>344</v>
      </c>
      <c r="F16" s="174" t="s">
        <v>889</v>
      </c>
      <c r="G16" s="149" t="s">
        <v>345</v>
      </c>
      <c r="H16" s="174" t="s">
        <v>889</v>
      </c>
      <c r="I16" s="9"/>
      <c r="J16" s="13"/>
      <c r="K16" s="13"/>
    </row>
    <row r="17" spans="1:13" ht="15" customHeight="1">
      <c r="A17" s="141" t="s">
        <v>346</v>
      </c>
      <c r="B17" s="96" t="s">
        <v>347</v>
      </c>
      <c r="C17" s="98">
        <f>C19+C22+C34+C43+C55+C70+C60+C40</f>
        <v>13133921</v>
      </c>
      <c r="D17" s="98">
        <f>D19+D22+D34+D43+D55+D70+D60+D40</f>
        <v>548240</v>
      </c>
      <c r="E17" s="98">
        <f>E167+E173+E460+E171</f>
        <v>5460717</v>
      </c>
      <c r="F17" s="98">
        <f>F167+F170+F60</f>
        <v>117347</v>
      </c>
      <c r="G17" s="98">
        <f>G80+G75</f>
        <v>17117219</v>
      </c>
      <c r="H17" s="98">
        <f>H80+H75+H170+H167+H19</f>
        <v>129180</v>
      </c>
      <c r="I17" s="175">
        <f>I19+I22+I34+I40+I43+I55+I60+I70+I75+I80+I167+I170</f>
        <v>35724649</v>
      </c>
      <c r="J17" s="98">
        <f>J19+J22+J34+J40+J43+J55+J60+J70+J75+J80+J167+J170</f>
        <v>794767</v>
      </c>
      <c r="K17" s="188">
        <f>I17+J17</f>
        <v>36519416</v>
      </c>
      <c r="L17" s="100"/>
      <c r="M17" s="100"/>
    </row>
    <row r="18" spans="1:12" ht="15" customHeight="1">
      <c r="A18" s="96">
        <v>1</v>
      </c>
      <c r="B18" s="96" t="s">
        <v>348</v>
      </c>
      <c r="C18" s="98">
        <f>C19+C22+C34</f>
        <v>12473125</v>
      </c>
      <c r="D18" s="98">
        <f>D19+D22+D34</f>
        <v>498308</v>
      </c>
      <c r="E18" s="99"/>
      <c r="F18" s="99"/>
      <c r="G18" s="99"/>
      <c r="H18" s="99"/>
      <c r="I18" s="175">
        <f t="shared" si="0" ref="I18:J34">C18</f>
        <v>12473125</v>
      </c>
      <c r="J18" s="175">
        <f t="shared" si="0"/>
        <v>498308</v>
      </c>
      <c r="K18" s="98">
        <f t="shared" si="1" ref="K18:K76">I18+J18</f>
        <v>12971433</v>
      </c>
      <c r="L18" s="100"/>
    </row>
    <row r="19" spans="1:12" ht="15" customHeight="1">
      <c r="A19" s="96" t="s">
        <v>349</v>
      </c>
      <c r="B19" s="96" t="s">
        <v>350</v>
      </c>
      <c r="C19" s="98">
        <f>C20</f>
        <v>11298140</v>
      </c>
      <c r="D19" s="98">
        <f>D20</f>
        <v>491132</v>
      </c>
      <c r="E19" s="99"/>
      <c r="F19" s="99"/>
      <c r="G19" s="99"/>
      <c r="H19" s="98">
        <f>H21</f>
        <v>0</v>
      </c>
      <c r="I19" s="175">
        <f>C19</f>
        <v>11298140</v>
      </c>
      <c r="J19" s="175">
        <f>D19</f>
        <v>491132</v>
      </c>
      <c r="K19" s="98">
        <f t="shared" si="1"/>
        <v>11789272</v>
      </c>
      <c r="L19" s="100"/>
    </row>
    <row r="20" spans="1:11" ht="15" customHeight="1">
      <c r="A20" s="96" t="s">
        <v>351</v>
      </c>
      <c r="B20" s="96" t="s">
        <v>352</v>
      </c>
      <c r="C20" s="98">
        <f>C21</f>
        <v>11298140</v>
      </c>
      <c r="D20" s="98">
        <f>D21</f>
        <v>491132</v>
      </c>
      <c r="E20" s="99"/>
      <c r="F20" s="99"/>
      <c r="G20" s="99"/>
      <c r="H20" s="99"/>
      <c r="I20" s="175">
        <f t="shared" si="0"/>
        <v>11298140</v>
      </c>
      <c r="J20" s="99">
        <f>D20</f>
        <v>491132</v>
      </c>
      <c r="K20" s="98">
        <f t="shared" si="1"/>
        <v>11789272</v>
      </c>
    </row>
    <row r="21" spans="1:11" ht="15" customHeight="1">
      <c r="A21" s="142" t="s">
        <v>353</v>
      </c>
      <c r="B21" s="95" t="s">
        <v>352</v>
      </c>
      <c r="C21" s="99">
        <v>11298140</v>
      </c>
      <c r="D21" s="99">
        <v>491132</v>
      </c>
      <c r="E21" s="99"/>
      <c r="F21" s="99"/>
      <c r="G21" s="99"/>
      <c r="H21" s="99"/>
      <c r="I21" s="176">
        <f t="shared" si="0"/>
        <v>11298140</v>
      </c>
      <c r="J21" s="99">
        <f>D21</f>
        <v>491132</v>
      </c>
      <c r="K21" s="99">
        <f t="shared" si="1"/>
        <v>11789272</v>
      </c>
    </row>
    <row r="22" spans="1:11" ht="15" customHeight="1">
      <c r="A22" s="143" t="s">
        <v>354</v>
      </c>
      <c r="B22" s="96" t="s">
        <v>355</v>
      </c>
      <c r="C22" s="98">
        <f>C23</f>
        <v>1129985</v>
      </c>
      <c r="D22" s="98">
        <f>D23</f>
        <v>7176</v>
      </c>
      <c r="E22" s="99"/>
      <c r="F22" s="99"/>
      <c r="G22" s="99"/>
      <c r="H22" s="99"/>
      <c r="I22" s="175">
        <f>C22</f>
        <v>1129985</v>
      </c>
      <c r="J22" s="175">
        <f>D22</f>
        <v>7176</v>
      </c>
      <c r="K22" s="98">
        <f t="shared" si="2" ref="K22:K30">I22+J22</f>
        <v>1137161</v>
      </c>
    </row>
    <row r="23" spans="1:12" ht="15" customHeight="1">
      <c r="A23" s="96" t="s">
        <v>356</v>
      </c>
      <c r="B23" s="96" t="s">
        <v>357</v>
      </c>
      <c r="C23" s="98">
        <f>C24+C27+C31</f>
        <v>1129985</v>
      </c>
      <c r="D23" s="98">
        <f>D24+D27+D31</f>
        <v>7176</v>
      </c>
      <c r="E23" s="99"/>
      <c r="F23" s="99"/>
      <c r="G23" s="99"/>
      <c r="H23" s="99"/>
      <c r="I23" s="175">
        <f t="shared" si="0"/>
        <v>1129985</v>
      </c>
      <c r="J23" s="175">
        <f t="shared" si="0"/>
        <v>7176</v>
      </c>
      <c r="K23" s="98">
        <f t="shared" si="2"/>
        <v>1137161</v>
      </c>
      <c r="L23" s="100"/>
    </row>
    <row r="24" spans="1:11" ht="15" customHeight="1">
      <c r="A24" s="96" t="s">
        <v>358</v>
      </c>
      <c r="B24" s="96" t="s">
        <v>359</v>
      </c>
      <c r="C24" s="98">
        <f>C25+C26</f>
        <v>981415</v>
      </c>
      <c r="D24" s="98"/>
      <c r="E24" s="99"/>
      <c r="F24" s="99"/>
      <c r="G24" s="99"/>
      <c r="H24" s="99"/>
      <c r="I24" s="175">
        <f t="shared" si="0"/>
        <v>981415</v>
      </c>
      <c r="J24" s="95"/>
      <c r="K24" s="98">
        <f t="shared" si="2"/>
        <v>981415</v>
      </c>
    </row>
    <row r="25" spans="1:11" ht="30" customHeight="1">
      <c r="A25" s="95" t="s">
        <v>360</v>
      </c>
      <c r="B25" s="94" t="s">
        <v>361</v>
      </c>
      <c r="C25" s="99">
        <v>882815</v>
      </c>
      <c r="D25" s="99"/>
      <c r="E25" s="99"/>
      <c r="F25" s="99"/>
      <c r="G25" s="99"/>
      <c r="H25" s="99"/>
      <c r="I25" s="176">
        <f t="shared" si="0"/>
        <v>882815</v>
      </c>
      <c r="J25" s="95"/>
      <c r="K25" s="99">
        <f t="shared" si="2"/>
        <v>882815</v>
      </c>
    </row>
    <row r="26" spans="1:11" ht="30" customHeight="1">
      <c r="A26" s="95" t="s">
        <v>362</v>
      </c>
      <c r="B26" s="94" t="s">
        <v>363</v>
      </c>
      <c r="C26" s="99">
        <v>98600</v>
      </c>
      <c r="D26" s="99"/>
      <c r="E26" s="99"/>
      <c r="F26" s="99"/>
      <c r="G26" s="99"/>
      <c r="H26" s="99"/>
      <c r="I26" s="176">
        <f t="shared" si="0"/>
        <v>98600</v>
      </c>
      <c r="J26" s="95"/>
      <c r="K26" s="53">
        <f t="shared" si="2"/>
        <v>98600</v>
      </c>
    </row>
    <row r="27" spans="1:11" ht="15" customHeight="1">
      <c r="A27" s="96" t="s">
        <v>364</v>
      </c>
      <c r="B27" s="96" t="s">
        <v>365</v>
      </c>
      <c r="C27" s="98">
        <f>C28+C30</f>
        <v>90570</v>
      </c>
      <c r="D27" s="98">
        <f>D28+D30</f>
        <v>7176</v>
      </c>
      <c r="E27" s="99"/>
      <c r="F27" s="99"/>
      <c r="G27" s="99"/>
      <c r="H27" s="99"/>
      <c r="I27" s="175">
        <f t="shared" si="0"/>
        <v>90570</v>
      </c>
      <c r="J27" s="175">
        <f t="shared" si="0"/>
        <v>7176</v>
      </c>
      <c r="K27" s="188">
        <f t="shared" si="2"/>
        <v>97746</v>
      </c>
    </row>
    <row r="28" spans="1:11" ht="30" customHeight="1">
      <c r="A28" s="95" t="s">
        <v>366</v>
      </c>
      <c r="B28" s="94" t="s">
        <v>367</v>
      </c>
      <c r="C28" s="99">
        <v>82570</v>
      </c>
      <c r="D28" s="99">
        <v>2209</v>
      </c>
      <c r="E28" s="99"/>
      <c r="F28" s="99"/>
      <c r="G28" s="99"/>
      <c r="H28" s="99"/>
      <c r="I28" s="176">
        <f t="shared" si="0"/>
        <v>82570</v>
      </c>
      <c r="J28" s="99">
        <f>D28</f>
        <v>2209</v>
      </c>
      <c r="K28" s="53">
        <f t="shared" si="2"/>
        <v>84779</v>
      </c>
    </row>
    <row r="29" spans="1:11" ht="15" customHeight="1">
      <c r="A29" s="95"/>
      <c r="B29" s="94" t="s">
        <v>368</v>
      </c>
      <c r="C29" s="99">
        <v>4718</v>
      </c>
      <c r="D29" s="99"/>
      <c r="E29" s="99"/>
      <c r="F29" s="99"/>
      <c r="G29" s="99"/>
      <c r="H29" s="99"/>
      <c r="I29" s="176">
        <f t="shared" si="0"/>
        <v>4718</v>
      </c>
      <c r="J29" s="95"/>
      <c r="K29" s="53">
        <f t="shared" si="2"/>
        <v>4718</v>
      </c>
    </row>
    <row r="30" spans="1:11" ht="30" customHeight="1">
      <c r="A30" s="95" t="s">
        <v>369</v>
      </c>
      <c r="B30" s="94" t="s">
        <v>370</v>
      </c>
      <c r="C30" s="99">
        <v>8000</v>
      </c>
      <c r="D30" s="99">
        <v>4967</v>
      </c>
      <c r="E30" s="99"/>
      <c r="F30" s="99"/>
      <c r="G30" s="99"/>
      <c r="H30" s="99"/>
      <c r="I30" s="176">
        <f t="shared" si="0"/>
        <v>8000</v>
      </c>
      <c r="J30" s="99">
        <f>D30</f>
        <v>4967</v>
      </c>
      <c r="K30" s="53">
        <f t="shared" si="2"/>
        <v>12967</v>
      </c>
    </row>
    <row r="31" spans="1:11" ht="15" customHeight="1">
      <c r="A31" s="96" t="s">
        <v>371</v>
      </c>
      <c r="B31" s="97" t="s">
        <v>372</v>
      </c>
      <c r="C31" s="98">
        <f>C32+C33</f>
        <v>58000</v>
      </c>
      <c r="D31" s="98"/>
      <c r="E31" s="99"/>
      <c r="F31" s="99"/>
      <c r="G31" s="99"/>
      <c r="H31" s="99"/>
      <c r="I31" s="175">
        <f t="shared" si="0"/>
        <v>58000</v>
      </c>
      <c r="J31" s="95"/>
      <c r="K31" s="188">
        <f t="shared" si="1"/>
        <v>58000</v>
      </c>
    </row>
    <row r="32" spans="1:11" ht="30" customHeight="1">
      <c r="A32" s="95" t="s">
        <v>373</v>
      </c>
      <c r="B32" s="94" t="s">
        <v>374</v>
      </c>
      <c r="C32" s="99">
        <v>48000</v>
      </c>
      <c r="D32" s="99"/>
      <c r="E32" s="99"/>
      <c r="F32" s="99"/>
      <c r="G32" s="99"/>
      <c r="H32" s="99"/>
      <c r="I32" s="176">
        <f t="shared" si="0"/>
        <v>48000</v>
      </c>
      <c r="J32" s="95"/>
      <c r="K32" s="53">
        <f t="shared" si="1"/>
        <v>48000</v>
      </c>
    </row>
    <row r="33" spans="1:11" ht="30" customHeight="1">
      <c r="A33" s="95" t="s">
        <v>375</v>
      </c>
      <c r="B33" s="94" t="s">
        <v>376</v>
      </c>
      <c r="C33" s="99">
        <v>10000</v>
      </c>
      <c r="D33" s="99"/>
      <c r="E33" s="99"/>
      <c r="F33" s="99"/>
      <c r="G33" s="99"/>
      <c r="H33" s="99"/>
      <c r="I33" s="176">
        <f t="shared" si="0"/>
        <v>10000</v>
      </c>
      <c r="J33" s="95"/>
      <c r="K33" s="99">
        <f t="shared" si="1"/>
        <v>10000</v>
      </c>
    </row>
    <row r="34" spans="1:11" ht="30" customHeight="1">
      <c r="A34" s="96" t="s">
        <v>377</v>
      </c>
      <c r="B34" s="97" t="s">
        <v>378</v>
      </c>
      <c r="C34" s="98">
        <f>C35+C37</f>
        <v>45000</v>
      </c>
      <c r="D34" s="98"/>
      <c r="E34" s="99"/>
      <c r="F34" s="99"/>
      <c r="G34" s="99"/>
      <c r="H34" s="99"/>
      <c r="I34" s="175">
        <f t="shared" si="0"/>
        <v>45000</v>
      </c>
      <c r="J34" s="95"/>
      <c r="K34" s="98">
        <f t="shared" si="1"/>
        <v>45000</v>
      </c>
    </row>
    <row r="35" spans="1:11" ht="30" customHeight="1">
      <c r="A35" s="96" t="s">
        <v>379</v>
      </c>
      <c r="B35" s="97" t="s">
        <v>380</v>
      </c>
      <c r="C35" s="98">
        <f>C36</f>
        <v>7000</v>
      </c>
      <c r="D35" s="98"/>
      <c r="E35" s="99"/>
      <c r="F35" s="99"/>
      <c r="G35" s="99"/>
      <c r="H35" s="99"/>
      <c r="I35" s="175">
        <f>I36</f>
        <v>7000</v>
      </c>
      <c r="J35" s="95"/>
      <c r="K35" s="98">
        <f t="shared" si="1"/>
        <v>7000</v>
      </c>
    </row>
    <row r="36" spans="1:11" ht="15" customHeight="1">
      <c r="A36" s="95" t="s">
        <v>381</v>
      </c>
      <c r="B36" s="95" t="s">
        <v>382</v>
      </c>
      <c r="C36" s="99">
        <v>7000</v>
      </c>
      <c r="D36" s="99"/>
      <c r="E36" s="99"/>
      <c r="F36" s="99"/>
      <c r="G36" s="99"/>
      <c r="H36" s="99"/>
      <c r="I36" s="176">
        <f>C36</f>
        <v>7000</v>
      </c>
      <c r="J36" s="95"/>
      <c r="K36" s="99">
        <f t="shared" si="1"/>
        <v>7000</v>
      </c>
    </row>
    <row r="37" spans="1:11" ht="30" customHeight="1">
      <c r="A37" s="96" t="s">
        <v>383</v>
      </c>
      <c r="B37" s="97" t="s">
        <v>384</v>
      </c>
      <c r="C37" s="98">
        <f>C38</f>
        <v>38000</v>
      </c>
      <c r="D37" s="98"/>
      <c r="E37" s="98"/>
      <c r="F37" s="98"/>
      <c r="G37" s="98"/>
      <c r="H37" s="98"/>
      <c r="I37" s="175">
        <f>I38</f>
        <v>38000</v>
      </c>
      <c r="J37" s="95"/>
      <c r="K37" s="98">
        <f t="shared" si="1"/>
        <v>38000</v>
      </c>
    </row>
    <row r="38" spans="1:11" ht="15" customHeight="1">
      <c r="A38" s="95" t="s">
        <v>385</v>
      </c>
      <c r="B38" s="95" t="s">
        <v>386</v>
      </c>
      <c r="C38" s="99">
        <v>38000</v>
      </c>
      <c r="D38" s="99"/>
      <c r="E38" s="99"/>
      <c r="F38" s="99"/>
      <c r="G38" s="99"/>
      <c r="H38" s="99"/>
      <c r="I38" s="176">
        <f>C38</f>
        <v>38000</v>
      </c>
      <c r="J38" s="95"/>
      <c r="K38" s="99">
        <f t="shared" si="1"/>
        <v>38000</v>
      </c>
    </row>
    <row r="39" spans="1:11" ht="15" customHeight="1">
      <c r="A39" s="96">
        <v>2</v>
      </c>
      <c r="B39" s="96" t="s">
        <v>387</v>
      </c>
      <c r="C39" s="98">
        <f>C43+C55+C60+C70+C40</f>
        <v>660796</v>
      </c>
      <c r="D39" s="98"/>
      <c r="E39" s="99"/>
      <c r="F39" s="99"/>
      <c r="G39" s="99"/>
      <c r="H39" s="99"/>
      <c r="I39" s="175">
        <f>C39</f>
        <v>660796</v>
      </c>
      <c r="J39" s="95"/>
      <c r="K39" s="98">
        <f t="shared" si="1"/>
        <v>660796</v>
      </c>
    </row>
    <row r="40" spans="1:11" ht="15" customHeight="1">
      <c r="A40" s="96" t="s">
        <v>388</v>
      </c>
      <c r="B40" s="96" t="s">
        <v>389</v>
      </c>
      <c r="C40" s="98">
        <f>C42+C41</f>
        <v>54687</v>
      </c>
      <c r="D40" s="98">
        <f>D42+D41</f>
        <v>148626</v>
      </c>
      <c r="E40" s="98"/>
      <c r="F40" s="98"/>
      <c r="G40" s="98"/>
      <c r="H40" s="98"/>
      <c r="I40" s="175">
        <f>I42+I41</f>
        <v>54687</v>
      </c>
      <c r="J40" s="175">
        <f>J42+J41</f>
        <v>148626</v>
      </c>
      <c r="K40" s="98">
        <f t="shared" si="1"/>
        <v>203313</v>
      </c>
    </row>
    <row r="41" spans="1:11" ht="32.25" customHeight="1">
      <c r="A41" s="95" t="s">
        <v>836</v>
      </c>
      <c r="B41" s="103" t="s">
        <v>839</v>
      </c>
      <c r="C41" s="99">
        <v>49687</v>
      </c>
      <c r="D41" s="99">
        <v>148626</v>
      </c>
      <c r="E41" s="98"/>
      <c r="F41" s="98"/>
      <c r="G41" s="98"/>
      <c r="H41" s="98"/>
      <c r="I41" s="176">
        <v>49687</v>
      </c>
      <c r="J41" s="99">
        <f>D41</f>
        <v>148626</v>
      </c>
      <c r="K41" s="99">
        <f>I41+J41</f>
        <v>198313</v>
      </c>
    </row>
    <row r="42" spans="1:11" ht="30" customHeight="1">
      <c r="A42" s="95" t="s">
        <v>390</v>
      </c>
      <c r="B42" s="94" t="s">
        <v>391</v>
      </c>
      <c r="C42" s="99">
        <v>5000</v>
      </c>
      <c r="D42" s="99"/>
      <c r="E42" s="99"/>
      <c r="F42" s="99"/>
      <c r="G42" s="99"/>
      <c r="H42" s="99"/>
      <c r="I42" s="176">
        <f t="shared" si="3" ref="I42:I59">C42</f>
        <v>5000</v>
      </c>
      <c r="J42" s="95"/>
      <c r="K42" s="99">
        <f>I42+J42</f>
        <v>5000</v>
      </c>
    </row>
    <row r="43" spans="1:11" s="86" customFormat="1" ht="30" customHeight="1">
      <c r="A43" s="96" t="s">
        <v>392</v>
      </c>
      <c r="B43" s="97" t="s">
        <v>393</v>
      </c>
      <c r="C43" s="98">
        <f>C44+C49</f>
        <v>18140</v>
      </c>
      <c r="D43" s="98"/>
      <c r="E43" s="98"/>
      <c r="F43" s="98"/>
      <c r="G43" s="98"/>
      <c r="H43" s="98"/>
      <c r="I43" s="175">
        <f t="shared" si="3"/>
        <v>18140</v>
      </c>
      <c r="J43" s="96"/>
      <c r="K43" s="98">
        <f t="shared" si="1"/>
        <v>18140</v>
      </c>
    </row>
    <row r="44" spans="1:11" s="86" customFormat="1" ht="15" customHeight="1">
      <c r="A44" s="96" t="s">
        <v>394</v>
      </c>
      <c r="B44" s="97" t="s">
        <v>395</v>
      </c>
      <c r="C44" s="98">
        <f>C45+C46+C47</f>
        <v>11690</v>
      </c>
      <c r="D44" s="98"/>
      <c r="E44" s="98"/>
      <c r="F44" s="98"/>
      <c r="G44" s="98"/>
      <c r="H44" s="98"/>
      <c r="I44" s="175">
        <f t="shared" si="3"/>
        <v>11690</v>
      </c>
      <c r="J44" s="96"/>
      <c r="K44" s="98">
        <f t="shared" si="1"/>
        <v>11690</v>
      </c>
    </row>
    <row r="45" spans="1:11" ht="30" customHeight="1">
      <c r="A45" s="95" t="s">
        <v>396</v>
      </c>
      <c r="B45" s="94" t="s">
        <v>397</v>
      </c>
      <c r="C45" s="99">
        <v>10000</v>
      </c>
      <c r="D45" s="99"/>
      <c r="E45" s="99"/>
      <c r="F45" s="99"/>
      <c r="G45" s="99"/>
      <c r="H45" s="99"/>
      <c r="I45" s="176">
        <f t="shared" si="3"/>
        <v>10000</v>
      </c>
      <c r="J45" s="95"/>
      <c r="K45" s="99">
        <f t="shared" si="1"/>
        <v>10000</v>
      </c>
    </row>
    <row r="46" spans="1:11" ht="30" customHeight="1">
      <c r="A46" s="95" t="s">
        <v>398</v>
      </c>
      <c r="B46" s="94" t="s">
        <v>399</v>
      </c>
      <c r="C46" s="99">
        <v>1400</v>
      </c>
      <c r="D46" s="99"/>
      <c r="E46" s="99"/>
      <c r="F46" s="99"/>
      <c r="G46" s="99"/>
      <c r="H46" s="99"/>
      <c r="I46" s="176">
        <f t="shared" si="3"/>
        <v>1400</v>
      </c>
      <c r="J46" s="95"/>
      <c r="K46" s="53">
        <f t="shared" si="1"/>
        <v>1400</v>
      </c>
    </row>
    <row r="47" spans="1:11" ht="30" customHeight="1">
      <c r="A47" s="95" t="s">
        <v>400</v>
      </c>
      <c r="B47" s="94" t="s">
        <v>401</v>
      </c>
      <c r="C47" s="99">
        <f>C48</f>
        <v>290</v>
      </c>
      <c r="D47" s="99"/>
      <c r="E47" s="99"/>
      <c r="F47" s="99"/>
      <c r="G47" s="99"/>
      <c r="H47" s="99"/>
      <c r="I47" s="176">
        <f t="shared" si="3"/>
        <v>290</v>
      </c>
      <c r="J47" s="95"/>
      <c r="K47" s="53">
        <f t="shared" si="1"/>
        <v>290</v>
      </c>
    </row>
    <row r="48" spans="1:11" ht="15" customHeight="1">
      <c r="A48" s="95" t="s">
        <v>402</v>
      </c>
      <c r="B48" s="94" t="s">
        <v>403</v>
      </c>
      <c r="C48" s="99">
        <v>290</v>
      </c>
      <c r="D48" s="99"/>
      <c r="E48" s="99"/>
      <c r="F48" s="99"/>
      <c r="G48" s="99"/>
      <c r="H48" s="99"/>
      <c r="I48" s="176">
        <f t="shared" si="3"/>
        <v>290</v>
      </c>
      <c r="J48" s="95"/>
      <c r="K48" s="53">
        <f t="shared" si="1"/>
        <v>290</v>
      </c>
    </row>
    <row r="49" spans="1:11" ht="15" customHeight="1">
      <c r="A49" s="96" t="s">
        <v>404</v>
      </c>
      <c r="B49" s="96" t="s">
        <v>405</v>
      </c>
      <c r="C49" s="98">
        <f>C50+C51+C52+C53+C54</f>
        <v>6450</v>
      </c>
      <c r="D49" s="98"/>
      <c r="E49" s="99"/>
      <c r="F49" s="99"/>
      <c r="G49" s="99"/>
      <c r="H49" s="99"/>
      <c r="I49" s="175">
        <f t="shared" si="3"/>
        <v>6450</v>
      </c>
      <c r="J49" s="95"/>
      <c r="K49" s="188">
        <f t="shared" si="1"/>
        <v>6450</v>
      </c>
    </row>
    <row r="50" spans="1:11" ht="30" customHeight="1">
      <c r="A50" s="95" t="s">
        <v>406</v>
      </c>
      <c r="B50" s="94" t="s">
        <v>407</v>
      </c>
      <c r="C50" s="99">
        <v>300</v>
      </c>
      <c r="D50" s="99"/>
      <c r="E50" s="99"/>
      <c r="F50" s="99"/>
      <c r="G50" s="99"/>
      <c r="H50" s="99"/>
      <c r="I50" s="176">
        <f t="shared" si="3"/>
        <v>300</v>
      </c>
      <c r="J50" s="95"/>
      <c r="K50" s="53">
        <f t="shared" si="1"/>
        <v>300</v>
      </c>
    </row>
    <row r="51" spans="1:11" ht="15" customHeight="1">
      <c r="A51" s="95" t="s">
        <v>408</v>
      </c>
      <c r="B51" s="94" t="s">
        <v>409</v>
      </c>
      <c r="C51" s="99">
        <v>1000</v>
      </c>
      <c r="D51" s="99"/>
      <c r="E51" s="99"/>
      <c r="F51" s="99"/>
      <c r="G51" s="99"/>
      <c r="H51" s="99"/>
      <c r="I51" s="176">
        <f t="shared" si="3"/>
        <v>1000</v>
      </c>
      <c r="J51" s="95"/>
      <c r="K51" s="53">
        <f t="shared" si="1"/>
        <v>1000</v>
      </c>
    </row>
    <row r="52" spans="1:11" ht="30" customHeight="1">
      <c r="A52" s="95" t="s">
        <v>410</v>
      </c>
      <c r="B52" s="94" t="s">
        <v>411</v>
      </c>
      <c r="C52" s="99">
        <v>50</v>
      </c>
      <c r="D52" s="99"/>
      <c r="E52" s="99"/>
      <c r="F52" s="99"/>
      <c r="G52" s="99"/>
      <c r="H52" s="99"/>
      <c r="I52" s="176">
        <f t="shared" si="3"/>
        <v>50</v>
      </c>
      <c r="J52" s="95"/>
      <c r="K52" s="53">
        <f t="shared" si="1"/>
        <v>50</v>
      </c>
    </row>
    <row r="53" spans="1:11" ht="15" customHeight="1">
      <c r="A53" s="95" t="s">
        <v>412</v>
      </c>
      <c r="B53" s="94" t="s">
        <v>413</v>
      </c>
      <c r="C53" s="99">
        <v>5000</v>
      </c>
      <c r="D53" s="99"/>
      <c r="E53" s="99"/>
      <c r="F53" s="99"/>
      <c r="G53" s="99"/>
      <c r="H53" s="99"/>
      <c r="I53" s="176">
        <f t="shared" si="3"/>
        <v>5000</v>
      </c>
      <c r="J53" s="95"/>
      <c r="K53" s="99">
        <f t="shared" si="1"/>
        <v>5000</v>
      </c>
    </row>
    <row r="54" spans="1:11" ht="15" customHeight="1">
      <c r="A54" s="95" t="s">
        <v>414</v>
      </c>
      <c r="B54" s="94" t="s">
        <v>415</v>
      </c>
      <c r="C54" s="99">
        <v>100</v>
      </c>
      <c r="D54" s="99"/>
      <c r="E54" s="99"/>
      <c r="F54" s="99"/>
      <c r="G54" s="99"/>
      <c r="H54" s="99"/>
      <c r="I54" s="176">
        <f t="shared" si="3"/>
        <v>100</v>
      </c>
      <c r="J54" s="95"/>
      <c r="K54" s="99">
        <f t="shared" si="1"/>
        <v>100</v>
      </c>
    </row>
    <row r="55" spans="1:11" ht="15" customHeight="1">
      <c r="A55" s="96" t="s">
        <v>416</v>
      </c>
      <c r="B55" s="96" t="s">
        <v>417</v>
      </c>
      <c r="C55" s="98">
        <f>C56+C59</f>
        <v>4000</v>
      </c>
      <c r="D55" s="98"/>
      <c r="E55" s="99"/>
      <c r="F55" s="99"/>
      <c r="G55" s="99"/>
      <c r="H55" s="99"/>
      <c r="I55" s="175">
        <f t="shared" si="3"/>
        <v>4000</v>
      </c>
      <c r="J55" s="95"/>
      <c r="K55" s="98">
        <f t="shared" si="1"/>
        <v>4000</v>
      </c>
    </row>
    <row r="56" spans="1:11" ht="15" customHeight="1">
      <c r="A56" s="95" t="s">
        <v>418</v>
      </c>
      <c r="B56" s="94" t="s">
        <v>419</v>
      </c>
      <c r="C56" s="99">
        <f>C57+C58</f>
        <v>3500</v>
      </c>
      <c r="D56" s="99"/>
      <c r="E56" s="99"/>
      <c r="F56" s="99"/>
      <c r="G56" s="99"/>
      <c r="H56" s="99"/>
      <c r="I56" s="176">
        <f t="shared" si="3"/>
        <v>3500</v>
      </c>
      <c r="J56" s="95"/>
      <c r="K56" s="99">
        <f t="shared" si="1"/>
        <v>3500</v>
      </c>
    </row>
    <row r="57" spans="1:11" ht="30" customHeight="1">
      <c r="A57" s="95" t="s">
        <v>420</v>
      </c>
      <c r="B57" s="162" t="s">
        <v>421</v>
      </c>
      <c r="C57" s="99">
        <v>2000</v>
      </c>
      <c r="D57" s="99"/>
      <c r="E57" s="99"/>
      <c r="F57" s="99"/>
      <c r="G57" s="99"/>
      <c r="H57" s="99"/>
      <c r="I57" s="176">
        <f t="shared" si="3"/>
        <v>2000</v>
      </c>
      <c r="J57" s="95"/>
      <c r="K57" s="99">
        <f t="shared" si="1"/>
        <v>2000</v>
      </c>
    </row>
    <row r="58" spans="1:11" ht="15" customHeight="1">
      <c r="A58" s="95" t="s">
        <v>422</v>
      </c>
      <c r="B58" s="162" t="s">
        <v>423</v>
      </c>
      <c r="C58" s="99">
        <v>1500</v>
      </c>
      <c r="D58" s="99"/>
      <c r="E58" s="99"/>
      <c r="F58" s="99"/>
      <c r="G58" s="99"/>
      <c r="H58" s="99"/>
      <c r="I58" s="176">
        <f t="shared" si="3"/>
        <v>1500</v>
      </c>
      <c r="J58" s="95"/>
      <c r="K58" s="99">
        <f t="shared" si="1"/>
        <v>1500</v>
      </c>
    </row>
    <row r="59" spans="1:11" ht="30" customHeight="1">
      <c r="A59" s="95" t="s">
        <v>424</v>
      </c>
      <c r="B59" s="94" t="s">
        <v>425</v>
      </c>
      <c r="C59" s="99">
        <v>500</v>
      </c>
      <c r="D59" s="99"/>
      <c r="E59" s="99"/>
      <c r="F59" s="99"/>
      <c r="G59" s="99"/>
      <c r="H59" s="99"/>
      <c r="I59" s="176">
        <f t="shared" si="3"/>
        <v>500</v>
      </c>
      <c r="J59" s="95"/>
      <c r="K59" s="99">
        <f t="shared" si="1"/>
        <v>500</v>
      </c>
    </row>
    <row r="60" spans="1:12" ht="15" customHeight="1">
      <c r="A60" s="96" t="s">
        <v>426</v>
      </c>
      <c r="B60" s="97" t="s">
        <v>427</v>
      </c>
      <c r="C60" s="98">
        <f>C61</f>
        <v>63969</v>
      </c>
      <c r="D60" s="98">
        <f>D69</f>
        <v>2300</v>
      </c>
      <c r="E60" s="98">
        <f>E61</f>
        <v>5000</v>
      </c>
      <c r="F60" s="98">
        <f>F68</f>
        <v>0</v>
      </c>
      <c r="G60" s="99"/>
      <c r="H60" s="128">
        <f>H68</f>
        <v>0</v>
      </c>
      <c r="I60" s="175">
        <f>C60+E60</f>
        <v>68969</v>
      </c>
      <c r="J60" s="98">
        <f>H60+F60+D60</f>
        <v>2300</v>
      </c>
      <c r="K60" s="98">
        <f>I60+J60</f>
        <v>71269</v>
      </c>
      <c r="L60" s="100"/>
    </row>
    <row r="61" spans="1:11" ht="30" customHeight="1">
      <c r="A61" s="95" t="s">
        <v>428</v>
      </c>
      <c r="B61" s="94" t="s">
        <v>429</v>
      </c>
      <c r="C61" s="99">
        <f>C62</f>
        <v>63969</v>
      </c>
      <c r="D61" s="99">
        <f>D62</f>
        <v>2300</v>
      </c>
      <c r="E61" s="99">
        <f>E68</f>
        <v>5000</v>
      </c>
      <c r="F61" s="99"/>
      <c r="G61" s="99"/>
      <c r="H61" s="99"/>
      <c r="I61" s="176">
        <f>I62</f>
        <v>63969</v>
      </c>
      <c r="J61" s="176">
        <f>J62</f>
        <v>2300</v>
      </c>
      <c r="K61" s="99">
        <f t="shared" si="1"/>
        <v>66269</v>
      </c>
    </row>
    <row r="62" spans="1:11" ht="15" customHeight="1">
      <c r="A62" s="95" t="s">
        <v>430</v>
      </c>
      <c r="B62" s="94" t="s">
        <v>431</v>
      </c>
      <c r="C62" s="99">
        <f>SUM(C63:C69)</f>
        <v>63969</v>
      </c>
      <c r="D62" s="99">
        <f>SUM(D63:D69)</f>
        <v>2300</v>
      </c>
      <c r="E62" s="92">
        <f>SUM(E63:E68)</f>
        <v>5000</v>
      </c>
      <c r="F62" s="99"/>
      <c r="G62" s="99"/>
      <c r="H62" s="99"/>
      <c r="I62" s="176">
        <f>SUM(I63:I67)</f>
        <v>63969</v>
      </c>
      <c r="J62" s="176">
        <f>D62</f>
        <v>2300</v>
      </c>
      <c r="K62" s="99">
        <f t="shared" si="1"/>
        <v>66269</v>
      </c>
    </row>
    <row r="63" spans="1:11" ht="15" customHeight="1">
      <c r="A63" s="95"/>
      <c r="B63" s="95" t="s">
        <v>276</v>
      </c>
      <c r="C63" s="99">
        <v>4000</v>
      </c>
      <c r="D63" s="99"/>
      <c r="E63" s="99"/>
      <c r="F63" s="99"/>
      <c r="G63" s="99"/>
      <c r="H63" s="99"/>
      <c r="I63" s="176">
        <f>C63</f>
        <v>4000</v>
      </c>
      <c r="J63" s="95"/>
      <c r="K63" s="99">
        <f t="shared" si="1"/>
        <v>4000</v>
      </c>
    </row>
    <row r="64" spans="1:11" ht="15" customHeight="1">
      <c r="A64" s="95"/>
      <c r="B64" s="95" t="s">
        <v>432</v>
      </c>
      <c r="C64" s="99">
        <v>2120</v>
      </c>
      <c r="D64" s="99"/>
      <c r="E64" s="99"/>
      <c r="F64" s="99"/>
      <c r="G64" s="99"/>
      <c r="H64" s="99"/>
      <c r="I64" s="176">
        <f>C64</f>
        <v>2120</v>
      </c>
      <c r="J64" s="95"/>
      <c r="K64" s="53">
        <f t="shared" si="1"/>
        <v>2120</v>
      </c>
    </row>
    <row r="65" spans="1:11" ht="15" customHeight="1">
      <c r="A65" s="95"/>
      <c r="B65" s="94" t="s">
        <v>49</v>
      </c>
      <c r="C65" s="99">
        <v>420</v>
      </c>
      <c r="D65" s="99"/>
      <c r="E65" s="99"/>
      <c r="F65" s="99"/>
      <c r="G65" s="99"/>
      <c r="H65" s="99"/>
      <c r="I65" s="176">
        <f>C65</f>
        <v>420</v>
      </c>
      <c r="J65" s="95"/>
      <c r="K65" s="53">
        <f t="shared" si="1"/>
        <v>420</v>
      </c>
    </row>
    <row r="66" spans="1:11" ht="15" customHeight="1">
      <c r="A66" s="95"/>
      <c r="B66" s="94" t="s">
        <v>66</v>
      </c>
      <c r="C66" s="99">
        <v>51600</v>
      </c>
      <c r="D66" s="99"/>
      <c r="E66" s="99"/>
      <c r="F66" s="99"/>
      <c r="G66" s="99"/>
      <c r="H66" s="99"/>
      <c r="I66" s="176">
        <f>C66</f>
        <v>51600</v>
      </c>
      <c r="J66" s="95"/>
      <c r="K66" s="53">
        <f t="shared" si="1"/>
        <v>51600</v>
      </c>
    </row>
    <row r="67" spans="1:11" ht="30" customHeight="1">
      <c r="A67" s="95"/>
      <c r="B67" s="94" t="s">
        <v>433</v>
      </c>
      <c r="C67" s="163">
        <v>5829</v>
      </c>
      <c r="D67" s="163"/>
      <c r="E67" s="99"/>
      <c r="F67" s="99"/>
      <c r="G67" s="99"/>
      <c r="H67" s="99"/>
      <c r="I67" s="176">
        <f>C67</f>
        <v>5829</v>
      </c>
      <c r="J67" s="95"/>
      <c r="K67" s="53">
        <f t="shared" si="1"/>
        <v>5829</v>
      </c>
    </row>
    <row r="68" spans="1:11" ht="39.75" customHeight="1">
      <c r="A68" s="95"/>
      <c r="B68" s="94" t="s">
        <v>896</v>
      </c>
      <c r="C68" s="163"/>
      <c r="D68" s="163"/>
      <c r="E68" s="99">
        <v>5000</v>
      </c>
      <c r="F68" s="99"/>
      <c r="G68" s="99"/>
      <c r="H68" s="99"/>
      <c r="I68" s="176">
        <f>E68</f>
        <v>5000</v>
      </c>
      <c r="J68" s="99">
        <f>F68</f>
        <v>0</v>
      </c>
      <c r="K68" s="53">
        <f t="shared" si="1"/>
        <v>5000</v>
      </c>
    </row>
    <row r="69" spans="1:11" ht="39.75" customHeight="1">
      <c r="A69" s="95"/>
      <c r="B69" s="94" t="s">
        <v>899</v>
      </c>
      <c r="C69" s="163">
        <v>0</v>
      </c>
      <c r="D69" s="163">
        <v>2300</v>
      </c>
      <c r="E69" s="99"/>
      <c r="F69" s="99"/>
      <c r="G69" s="99"/>
      <c r="H69" s="99"/>
      <c r="I69" s="176">
        <f>C69</f>
        <v>0</v>
      </c>
      <c r="J69" s="99">
        <f>D69</f>
        <v>2300</v>
      </c>
      <c r="K69" s="53">
        <f t="shared" si="1"/>
        <v>2300</v>
      </c>
    </row>
    <row r="70" spans="1:11" ht="30" customHeight="1">
      <c r="A70" s="96" t="s">
        <v>434</v>
      </c>
      <c r="B70" s="97" t="s">
        <v>435</v>
      </c>
      <c r="C70" s="98">
        <f>C71+C72</f>
        <v>520000</v>
      </c>
      <c r="D70" s="98">
        <f>D71+D72</f>
        <v>-100994</v>
      </c>
      <c r="E70" s="99"/>
      <c r="F70" s="99"/>
      <c r="G70" s="99"/>
      <c r="H70" s="99"/>
      <c r="I70" s="175">
        <f>I71+I72</f>
        <v>520000</v>
      </c>
      <c r="J70" s="175">
        <f>J71+J72</f>
        <v>-100994</v>
      </c>
      <c r="K70" s="98">
        <f>I70+J70</f>
        <v>419006</v>
      </c>
    </row>
    <row r="71" spans="1:11" ht="15" customHeight="1">
      <c r="A71" s="95" t="s">
        <v>436</v>
      </c>
      <c r="B71" s="94" t="s">
        <v>437</v>
      </c>
      <c r="C71" s="99">
        <v>20000</v>
      </c>
      <c r="D71" s="99">
        <v>19006</v>
      </c>
      <c r="E71" s="99"/>
      <c r="F71" s="99"/>
      <c r="G71" s="99"/>
      <c r="H71" s="99"/>
      <c r="I71" s="176">
        <f t="shared" si="4" ref="I71:J73">C71</f>
        <v>20000</v>
      </c>
      <c r="J71" s="99">
        <f t="shared" si="4"/>
        <v>19006</v>
      </c>
      <c r="K71" s="99">
        <f t="shared" si="1"/>
        <v>39006</v>
      </c>
    </row>
    <row r="72" spans="1:11" ht="15" customHeight="1">
      <c r="A72" s="95" t="s">
        <v>438</v>
      </c>
      <c r="B72" s="95" t="s">
        <v>439</v>
      </c>
      <c r="C72" s="99">
        <f>C73+C74</f>
        <v>500000</v>
      </c>
      <c r="D72" s="99">
        <f>D73+D74</f>
        <v>-120000</v>
      </c>
      <c r="E72" s="99"/>
      <c r="F72" s="99"/>
      <c r="G72" s="99"/>
      <c r="H72" s="99"/>
      <c r="I72" s="176">
        <f t="shared" si="4"/>
        <v>500000</v>
      </c>
      <c r="J72" s="176">
        <f t="shared" si="4"/>
        <v>-120000</v>
      </c>
      <c r="K72" s="99">
        <f t="shared" si="1"/>
        <v>380000</v>
      </c>
    </row>
    <row r="73" spans="1:11" ht="15" customHeight="1">
      <c r="A73" s="95" t="s">
        <v>440</v>
      </c>
      <c r="B73" s="95" t="s">
        <v>441</v>
      </c>
      <c r="C73" s="99">
        <v>500000</v>
      </c>
      <c r="D73" s="99">
        <v>-120000</v>
      </c>
      <c r="E73" s="99"/>
      <c r="F73" s="99"/>
      <c r="G73" s="99"/>
      <c r="H73" s="99"/>
      <c r="I73" s="176">
        <f t="shared" si="4"/>
        <v>500000</v>
      </c>
      <c r="J73" s="99">
        <f t="shared" si="4"/>
        <v>-120000</v>
      </c>
      <c r="K73" s="99">
        <f t="shared" si="1"/>
        <v>380000</v>
      </c>
    </row>
    <row r="74" spans="1:11" ht="15" customHeight="1">
      <c r="A74" s="95" t="s">
        <v>442</v>
      </c>
      <c r="B74" s="95" t="s">
        <v>443</v>
      </c>
      <c r="C74" s="99"/>
      <c r="D74" s="99"/>
      <c r="E74" s="99"/>
      <c r="F74" s="99"/>
      <c r="G74" s="99"/>
      <c r="H74" s="99"/>
      <c r="I74" s="176">
        <f>C74</f>
        <v>0</v>
      </c>
      <c r="J74" s="95"/>
      <c r="K74" s="99">
        <f t="shared" si="1"/>
        <v>0</v>
      </c>
    </row>
    <row r="75" spans="1:11" ht="47.1" customHeight="1">
      <c r="A75" s="96" t="s">
        <v>444</v>
      </c>
      <c r="B75" s="97" t="s">
        <v>445</v>
      </c>
      <c r="C75" s="98"/>
      <c r="D75" s="98"/>
      <c r="E75" s="98"/>
      <c r="F75" s="98"/>
      <c r="G75" s="98">
        <f>G77+G76+G78+G79</f>
        <v>149591</v>
      </c>
      <c r="H75" s="98">
        <f>H77+H76+H78+H79</f>
        <v>0</v>
      </c>
      <c r="I75" s="175">
        <f>G75</f>
        <v>149591</v>
      </c>
      <c r="J75" s="98">
        <f>J79</f>
        <v>0</v>
      </c>
      <c r="K75" s="98">
        <f>I75+J75</f>
        <v>149591</v>
      </c>
    </row>
    <row r="76" spans="1:11" ht="30.6" customHeight="1">
      <c r="A76" s="95" t="s">
        <v>812</v>
      </c>
      <c r="B76" s="164" t="s">
        <v>815</v>
      </c>
      <c r="C76" s="98"/>
      <c r="D76" s="98"/>
      <c r="E76" s="98"/>
      <c r="F76" s="98"/>
      <c r="G76" s="99">
        <v>8000</v>
      </c>
      <c r="H76" s="99"/>
      <c r="I76" s="176">
        <f t="shared" si="5" ref="I76:I89">G76</f>
        <v>8000</v>
      </c>
      <c r="J76" s="95"/>
      <c r="K76" s="99">
        <f t="shared" si="1"/>
        <v>8000</v>
      </c>
    </row>
    <row r="77" spans="1:11" ht="47.1" customHeight="1">
      <c r="A77" s="95" t="s">
        <v>447</v>
      </c>
      <c r="B77" s="209" t="s">
        <v>446</v>
      </c>
      <c r="C77" s="99"/>
      <c r="D77" s="99"/>
      <c r="E77" s="99"/>
      <c r="F77" s="99"/>
      <c r="G77" s="99">
        <v>72900</v>
      </c>
      <c r="H77" s="99"/>
      <c r="I77" s="176">
        <f t="shared" si="5"/>
        <v>72900</v>
      </c>
      <c r="J77" s="95"/>
      <c r="K77" s="99">
        <f t="shared" si="6" ref="K77:K82">I77+J77</f>
        <v>72900</v>
      </c>
    </row>
    <row r="78" spans="1:11" ht="21" customHeight="1">
      <c r="A78" s="95" t="s">
        <v>812</v>
      </c>
      <c r="B78" s="209" t="s">
        <v>871</v>
      </c>
      <c r="C78" s="99"/>
      <c r="D78" s="99"/>
      <c r="E78" s="99"/>
      <c r="F78" s="99"/>
      <c r="G78" s="99">
        <f>61634</f>
        <v>61634</v>
      </c>
      <c r="H78" s="53"/>
      <c r="I78" s="176">
        <f>G78</f>
        <v>61634</v>
      </c>
      <c r="J78" s="99">
        <f>H78</f>
        <v>0</v>
      </c>
      <c r="K78" s="99">
        <f t="shared" si="6"/>
        <v>61634</v>
      </c>
    </row>
    <row r="79" spans="1:11" ht="33" customHeight="1">
      <c r="A79" s="95" t="s">
        <v>812</v>
      </c>
      <c r="B79" s="165" t="s">
        <v>873</v>
      </c>
      <c r="C79" s="99"/>
      <c r="D79" s="99"/>
      <c r="E79" s="99"/>
      <c r="F79" s="99"/>
      <c r="G79" s="99">
        <v>7057</v>
      </c>
      <c r="H79" s="53"/>
      <c r="I79" s="176">
        <f>G79</f>
        <v>7057</v>
      </c>
      <c r="J79" s="99">
        <f>H79</f>
        <v>0</v>
      </c>
      <c r="K79" s="99">
        <f t="shared" si="6"/>
        <v>7057</v>
      </c>
    </row>
    <row r="80" spans="1:12" ht="15" customHeight="1">
      <c r="A80" s="96" t="s">
        <v>449</v>
      </c>
      <c r="B80" s="83" t="s">
        <v>450</v>
      </c>
      <c r="C80" s="98"/>
      <c r="D80" s="98"/>
      <c r="E80" s="98"/>
      <c r="F80" s="98"/>
      <c r="G80" s="98">
        <f>G81+G165+G146+G166</f>
        <v>16967628</v>
      </c>
      <c r="H80" s="98">
        <f>H81+H146</f>
        <v>129180</v>
      </c>
      <c r="I80" s="175">
        <f>G80</f>
        <v>16967628</v>
      </c>
      <c r="J80" s="98">
        <f>J81+J146</f>
        <v>129180</v>
      </c>
      <c r="K80" s="98">
        <f>I80+J80</f>
        <v>17096808</v>
      </c>
      <c r="L80" s="100"/>
    </row>
    <row r="81" spans="1:11" ht="30" customHeight="1">
      <c r="A81" s="96" t="s">
        <v>451</v>
      </c>
      <c r="B81" s="97" t="s">
        <v>452</v>
      </c>
      <c r="C81" s="98"/>
      <c r="D81" s="98"/>
      <c r="E81" s="98"/>
      <c r="F81" s="98"/>
      <c r="G81" s="98">
        <f>G82+G83+G84+G85+G86+G87+G88+G89+G90+G91+G92+G93+G109+G110+G111+G112+G113+G120+G121+G122+G132+G133+G134+G135+G136+G138+G139+G140+G141+G142+G143+G144+G145</f>
        <v>10226604</v>
      </c>
      <c r="H81" s="98">
        <f>H82+H83+H84+H85+H86+H87+H88+H89+H90+H91+H92+H93+H109+H110+H111+H112+H113+H120+H121+H122+H132+H133+H134+H135+H136+H138+H139+H140+H141+H142+H143+H144+H145+H137</f>
        <v>110704</v>
      </c>
      <c r="I81" s="175">
        <f>G81</f>
        <v>10226604</v>
      </c>
      <c r="J81" s="98">
        <f t="shared" si="7" ref="J81:J91">H81</f>
        <v>110704</v>
      </c>
      <c r="K81" s="98">
        <f>I81+J81</f>
        <v>10337308</v>
      </c>
    </row>
    <row r="82" spans="1:11" ht="45" customHeight="1">
      <c r="A82" s="95" t="s">
        <v>453</v>
      </c>
      <c r="B82" s="94" t="s">
        <v>454</v>
      </c>
      <c r="C82" s="99"/>
      <c r="D82" s="99"/>
      <c r="E82" s="99"/>
      <c r="F82" s="99"/>
      <c r="G82" s="99">
        <f>3251056+23400+1600952</f>
        <v>4875408</v>
      </c>
      <c r="H82" s="99"/>
      <c r="I82" s="176">
        <f>G82</f>
        <v>4875408</v>
      </c>
      <c r="J82" s="99">
        <f t="shared" si="7"/>
        <v>0</v>
      </c>
      <c r="K82" s="53">
        <f t="shared" si="6"/>
        <v>4875408</v>
      </c>
    </row>
    <row r="83" spans="1:11" ht="60" customHeight="1">
      <c r="A83" s="95" t="s">
        <v>453</v>
      </c>
      <c r="B83" s="94" t="s">
        <v>455</v>
      </c>
      <c r="C83" s="99"/>
      <c r="D83" s="99"/>
      <c r="E83" s="99"/>
      <c r="F83" s="99"/>
      <c r="G83" s="99">
        <f>182000+90452</f>
        <v>272452</v>
      </c>
      <c r="H83" s="99"/>
      <c r="I83" s="176">
        <f t="shared" si="5"/>
        <v>272452</v>
      </c>
      <c r="J83" s="99">
        <f t="shared" si="7"/>
        <v>0</v>
      </c>
      <c r="K83" s="53">
        <f t="shared" si="8" ref="K83:K172">I83+J83</f>
        <v>272452</v>
      </c>
    </row>
    <row r="84" spans="1:11" ht="45" customHeight="1">
      <c r="A84" s="95" t="s">
        <v>453</v>
      </c>
      <c r="B84" s="94" t="s">
        <v>456</v>
      </c>
      <c r="C84" s="99"/>
      <c r="D84" s="99"/>
      <c r="E84" s="99"/>
      <c r="F84" s="99"/>
      <c r="G84" s="99">
        <f>157847+82669</f>
        <v>240516</v>
      </c>
      <c r="H84" s="99"/>
      <c r="I84" s="176">
        <f t="shared" si="5"/>
        <v>240516</v>
      </c>
      <c r="J84" s="99">
        <f t="shared" si="7"/>
        <v>0</v>
      </c>
      <c r="K84" s="53">
        <f t="shared" si="8"/>
        <v>240516</v>
      </c>
    </row>
    <row r="85" spans="1:11" ht="60" customHeight="1">
      <c r="A85" s="95" t="s">
        <v>457</v>
      </c>
      <c r="B85" s="94" t="s">
        <v>458</v>
      </c>
      <c r="C85" s="99"/>
      <c r="D85" s="99"/>
      <c r="E85" s="99"/>
      <c r="F85" s="99"/>
      <c r="G85" s="99">
        <f>581731+261452</f>
        <v>843183</v>
      </c>
      <c r="H85" s="99"/>
      <c r="I85" s="176">
        <f t="shared" si="5"/>
        <v>843183</v>
      </c>
      <c r="J85" s="99">
        <f t="shared" si="7"/>
        <v>0</v>
      </c>
      <c r="K85" s="53">
        <f t="shared" si="8"/>
        <v>843183</v>
      </c>
    </row>
    <row r="86" spans="1:11" ht="30" customHeight="1">
      <c r="A86" s="95" t="s">
        <v>459</v>
      </c>
      <c r="B86" s="114" t="s">
        <v>460</v>
      </c>
      <c r="C86" s="99"/>
      <c r="D86" s="99"/>
      <c r="E86" s="99"/>
      <c r="F86" s="99"/>
      <c r="G86" s="99">
        <v>21550</v>
      </c>
      <c r="H86" s="99"/>
      <c r="I86" s="176">
        <f t="shared" si="5"/>
        <v>21550</v>
      </c>
      <c r="J86" s="99">
        <f t="shared" si="7"/>
        <v>0</v>
      </c>
      <c r="K86" s="53">
        <f t="shared" si="8"/>
        <v>21550</v>
      </c>
    </row>
    <row r="87" spans="1:11" ht="15" customHeight="1">
      <c r="A87" s="95" t="s">
        <v>461</v>
      </c>
      <c r="B87" s="94" t="s">
        <v>462</v>
      </c>
      <c r="C87" s="99"/>
      <c r="D87" s="99"/>
      <c r="E87" s="99"/>
      <c r="F87" s="99"/>
      <c r="G87" s="99">
        <v>963135</v>
      </c>
      <c r="H87" s="99"/>
      <c r="I87" s="176">
        <f t="shared" si="5"/>
        <v>963135</v>
      </c>
      <c r="J87" s="99">
        <f t="shared" si="7"/>
        <v>0</v>
      </c>
      <c r="K87" s="53">
        <f t="shared" si="8"/>
        <v>963135</v>
      </c>
    </row>
    <row r="88" spans="1:11" ht="15" customHeight="1">
      <c r="A88" s="95" t="s">
        <v>463</v>
      </c>
      <c r="B88" s="95" t="s">
        <v>464</v>
      </c>
      <c r="C88" s="99"/>
      <c r="D88" s="99"/>
      <c r="E88" s="99"/>
      <c r="F88" s="99"/>
      <c r="G88" s="99">
        <f>374372+4878</f>
        <v>379250</v>
      </c>
      <c r="H88" s="99"/>
      <c r="I88" s="176">
        <f t="shared" si="5"/>
        <v>379250</v>
      </c>
      <c r="J88" s="99">
        <f t="shared" si="7"/>
        <v>0</v>
      </c>
      <c r="K88" s="53">
        <f t="shared" si="8"/>
        <v>379250</v>
      </c>
    </row>
    <row r="89" spans="1:11" ht="22.5" customHeight="1">
      <c r="A89" s="95" t="s">
        <v>465</v>
      </c>
      <c r="B89" s="95" t="s">
        <v>466</v>
      </c>
      <c r="C89" s="99"/>
      <c r="D89" s="99"/>
      <c r="E89" s="99"/>
      <c r="F89" s="99"/>
      <c r="G89" s="99">
        <f>538057+269094</f>
        <v>807151</v>
      </c>
      <c r="H89" s="99"/>
      <c r="I89" s="176">
        <f t="shared" si="5"/>
        <v>807151</v>
      </c>
      <c r="J89" s="99">
        <f t="shared" si="7"/>
        <v>0</v>
      </c>
      <c r="K89" s="53">
        <f t="shared" si="8"/>
        <v>807151</v>
      </c>
    </row>
    <row r="90" spans="1:11" ht="30" customHeight="1">
      <c r="A90" s="95" t="s">
        <v>467</v>
      </c>
      <c r="B90" s="94" t="s">
        <v>468</v>
      </c>
      <c r="C90" s="99"/>
      <c r="D90" s="99"/>
      <c r="E90" s="99"/>
      <c r="F90" s="99"/>
      <c r="G90" s="99">
        <f>161226+2058</f>
        <v>163284</v>
      </c>
      <c r="H90" s="99"/>
      <c r="I90" s="176">
        <f>G90</f>
        <v>163284</v>
      </c>
      <c r="J90" s="99">
        <f t="shared" si="7"/>
        <v>0</v>
      </c>
      <c r="K90" s="53">
        <f t="shared" si="8"/>
        <v>163284</v>
      </c>
    </row>
    <row r="91" spans="1:11" ht="30" customHeight="1">
      <c r="A91" s="95" t="s">
        <v>857</v>
      </c>
      <c r="B91" s="72" t="s">
        <v>872</v>
      </c>
      <c r="C91" s="99"/>
      <c r="D91" s="99"/>
      <c r="E91" s="99"/>
      <c r="F91" s="99"/>
      <c r="G91" s="99">
        <v>5273</v>
      </c>
      <c r="H91" s="53"/>
      <c r="I91" s="176">
        <v>5273</v>
      </c>
      <c r="J91" s="99">
        <f t="shared" si="7"/>
        <v>0</v>
      </c>
      <c r="K91" s="53">
        <f>I91+J91</f>
        <v>5273</v>
      </c>
    </row>
    <row r="92" spans="1:11" ht="30" customHeight="1">
      <c r="A92" s="95" t="s">
        <v>840</v>
      </c>
      <c r="B92" s="72" t="s">
        <v>841</v>
      </c>
      <c r="C92" s="99"/>
      <c r="D92" s="99"/>
      <c r="E92" s="99"/>
      <c r="F92" s="99"/>
      <c r="G92" s="99">
        <v>72644</v>
      </c>
      <c r="H92" s="99"/>
      <c r="I92" s="176">
        <f>G92</f>
        <v>72644</v>
      </c>
      <c r="J92" s="99">
        <v>0</v>
      </c>
      <c r="K92" s="53">
        <f t="shared" si="8"/>
        <v>72644</v>
      </c>
    </row>
    <row r="93" spans="1:11" ht="45" customHeight="1">
      <c r="A93" s="95" t="s">
        <v>469</v>
      </c>
      <c r="B93" s="94" t="s">
        <v>470</v>
      </c>
      <c r="C93" s="99"/>
      <c r="D93" s="99"/>
      <c r="E93" s="99"/>
      <c r="F93" s="99"/>
      <c r="G93" s="99">
        <f>SUM(G94:G108)</f>
        <v>27404</v>
      </c>
      <c r="H93" s="99">
        <f>SUM(H94:H108)</f>
        <v>30804</v>
      </c>
      <c r="I93" s="176">
        <f>G93</f>
        <v>27404</v>
      </c>
      <c r="J93" s="176">
        <f>H93</f>
        <v>30804</v>
      </c>
      <c r="K93" s="53">
        <f t="shared" si="8"/>
        <v>58208</v>
      </c>
    </row>
    <row r="94" spans="1:11" ht="15" customHeight="1">
      <c r="A94" s="95"/>
      <c r="B94" s="94" t="s">
        <v>471</v>
      </c>
      <c r="C94" s="99"/>
      <c r="D94" s="99"/>
      <c r="E94" s="99"/>
      <c r="F94" s="99"/>
      <c r="G94" s="99">
        <v>403</v>
      </c>
      <c r="H94" s="99">
        <v>453</v>
      </c>
      <c r="I94" s="176">
        <f t="shared" si="9" ref="I94:I108">C94+E94+G94</f>
        <v>403</v>
      </c>
      <c r="J94" s="53">
        <f>H94</f>
        <v>453</v>
      </c>
      <c r="K94" s="53">
        <f t="shared" si="8"/>
        <v>856</v>
      </c>
    </row>
    <row r="95" spans="1:11" ht="15" customHeight="1">
      <c r="A95" s="95"/>
      <c r="B95" s="94" t="s">
        <v>154</v>
      </c>
      <c r="C95" s="99"/>
      <c r="D95" s="99"/>
      <c r="E95" s="99"/>
      <c r="F95" s="99"/>
      <c r="G95" s="99">
        <v>2015</v>
      </c>
      <c r="H95" s="99">
        <v>7701</v>
      </c>
      <c r="I95" s="176">
        <f t="shared" si="9"/>
        <v>2015</v>
      </c>
      <c r="J95" s="53">
        <f>H95</f>
        <v>7701</v>
      </c>
      <c r="K95" s="53">
        <f t="shared" si="8"/>
        <v>9716</v>
      </c>
    </row>
    <row r="96" spans="1:11" ht="15" customHeight="1">
      <c r="A96" s="95"/>
      <c r="B96" s="94" t="s">
        <v>80</v>
      </c>
      <c r="C96" s="99"/>
      <c r="D96" s="99"/>
      <c r="E96" s="99"/>
      <c r="F96" s="99"/>
      <c r="G96" s="99">
        <v>6851</v>
      </c>
      <c r="H96" s="99">
        <v>2265</v>
      </c>
      <c r="I96" s="176">
        <f t="shared" si="9"/>
        <v>6851</v>
      </c>
      <c r="J96" s="53">
        <f>H96</f>
        <v>2265</v>
      </c>
      <c r="K96" s="53">
        <f t="shared" si="8"/>
        <v>9116</v>
      </c>
    </row>
    <row r="97" spans="1:11" ht="15" customHeight="1">
      <c r="A97" s="95"/>
      <c r="B97" s="72" t="s">
        <v>191</v>
      </c>
      <c r="C97" s="99"/>
      <c r="D97" s="99"/>
      <c r="E97" s="99"/>
      <c r="F97" s="99"/>
      <c r="G97" s="99">
        <v>3224</v>
      </c>
      <c r="H97" s="99">
        <v>3624</v>
      </c>
      <c r="I97" s="176">
        <f t="shared" si="9"/>
        <v>3224</v>
      </c>
      <c r="J97" s="53">
        <f t="shared" si="10" ref="J97:J108">H97</f>
        <v>3624</v>
      </c>
      <c r="K97" s="53">
        <f t="shared" si="8"/>
        <v>6848</v>
      </c>
    </row>
    <row r="98" spans="1:11" ht="15" customHeight="1">
      <c r="A98" s="95"/>
      <c r="B98" s="72" t="s">
        <v>159</v>
      </c>
      <c r="C98" s="99"/>
      <c r="D98" s="99"/>
      <c r="E98" s="99"/>
      <c r="F98" s="99"/>
      <c r="G98" s="99">
        <v>1612</v>
      </c>
      <c r="H98" s="99">
        <v>1812</v>
      </c>
      <c r="I98" s="176">
        <f t="shared" si="9"/>
        <v>1612</v>
      </c>
      <c r="J98" s="53">
        <f t="shared" si="10"/>
        <v>1812</v>
      </c>
      <c r="K98" s="53">
        <f t="shared" si="8"/>
        <v>3424</v>
      </c>
    </row>
    <row r="99" spans="1:11" ht="15" customHeight="1">
      <c r="A99" s="95"/>
      <c r="B99" s="72" t="s">
        <v>472</v>
      </c>
      <c r="C99" s="99"/>
      <c r="D99" s="99"/>
      <c r="E99" s="99"/>
      <c r="F99" s="99"/>
      <c r="G99" s="99">
        <v>2015</v>
      </c>
      <c r="H99" s="99">
        <v>2265</v>
      </c>
      <c r="I99" s="176">
        <f t="shared" si="9"/>
        <v>2015</v>
      </c>
      <c r="J99" s="53">
        <f t="shared" si="10"/>
        <v>2265</v>
      </c>
      <c r="K99" s="53">
        <f t="shared" si="8"/>
        <v>4280</v>
      </c>
    </row>
    <row r="100" spans="1:11" ht="15" customHeight="1">
      <c r="A100" s="95"/>
      <c r="B100" s="72" t="s">
        <v>861</v>
      </c>
      <c r="C100" s="99"/>
      <c r="D100" s="99"/>
      <c r="E100" s="99"/>
      <c r="F100" s="99"/>
      <c r="G100" s="99">
        <v>806</v>
      </c>
      <c r="H100" s="99">
        <v>906</v>
      </c>
      <c r="I100" s="176">
        <f t="shared" si="9"/>
        <v>806</v>
      </c>
      <c r="J100" s="53">
        <f t="shared" si="10"/>
        <v>906</v>
      </c>
      <c r="K100" s="53">
        <f t="shared" si="8"/>
        <v>1712</v>
      </c>
    </row>
    <row r="101" spans="1:11" ht="15" customHeight="1">
      <c r="A101" s="95"/>
      <c r="B101" s="72" t="s">
        <v>473</v>
      </c>
      <c r="C101" s="99"/>
      <c r="D101" s="99"/>
      <c r="E101" s="99"/>
      <c r="F101" s="99"/>
      <c r="G101" s="99">
        <v>1209</v>
      </c>
      <c r="H101" s="99">
        <v>1359</v>
      </c>
      <c r="I101" s="176">
        <f>C101+E101+G101</f>
        <v>1209</v>
      </c>
      <c r="J101" s="53">
        <f t="shared" si="10"/>
        <v>1359</v>
      </c>
      <c r="K101" s="53">
        <f t="shared" si="8"/>
        <v>2568</v>
      </c>
    </row>
    <row r="102" spans="1:11" ht="15" customHeight="1">
      <c r="A102" s="95"/>
      <c r="B102" s="72" t="s">
        <v>474</v>
      </c>
      <c r="C102" s="99"/>
      <c r="D102" s="99"/>
      <c r="E102" s="99"/>
      <c r="F102" s="99"/>
      <c r="G102" s="99">
        <v>4030</v>
      </c>
      <c r="H102" s="99">
        <v>4530</v>
      </c>
      <c r="I102" s="176">
        <f t="shared" si="9"/>
        <v>4030</v>
      </c>
      <c r="J102" s="53">
        <f t="shared" si="10"/>
        <v>4530</v>
      </c>
      <c r="K102" s="53">
        <f t="shared" si="8"/>
        <v>8560</v>
      </c>
    </row>
    <row r="103" spans="1:11" ht="15" customHeight="1">
      <c r="A103" s="95"/>
      <c r="B103" s="72" t="s">
        <v>200</v>
      </c>
      <c r="C103" s="99"/>
      <c r="D103" s="99"/>
      <c r="E103" s="99"/>
      <c r="F103" s="99"/>
      <c r="G103" s="99">
        <v>403</v>
      </c>
      <c r="H103" s="99">
        <v>453</v>
      </c>
      <c r="I103" s="176">
        <f t="shared" si="9"/>
        <v>403</v>
      </c>
      <c r="J103" s="53">
        <f t="shared" si="10"/>
        <v>453</v>
      </c>
      <c r="K103" s="53">
        <f t="shared" si="8"/>
        <v>856</v>
      </c>
    </row>
    <row r="104" spans="1:11" ht="15" customHeight="1">
      <c r="A104" s="95"/>
      <c r="B104" s="72" t="s">
        <v>306</v>
      </c>
      <c r="C104" s="99"/>
      <c r="D104" s="99"/>
      <c r="E104" s="99"/>
      <c r="F104" s="99"/>
      <c r="G104" s="99">
        <v>1612</v>
      </c>
      <c r="H104" s="99">
        <v>1812</v>
      </c>
      <c r="I104" s="176">
        <f t="shared" si="9"/>
        <v>1612</v>
      </c>
      <c r="J104" s="53">
        <f t="shared" si="10"/>
        <v>1812</v>
      </c>
      <c r="K104" s="53">
        <f t="shared" si="8"/>
        <v>3424</v>
      </c>
    </row>
    <row r="105" spans="1:11" ht="15" customHeight="1">
      <c r="A105" s="95"/>
      <c r="B105" s="72" t="s">
        <v>475</v>
      </c>
      <c r="C105" s="99"/>
      <c r="D105" s="99"/>
      <c r="E105" s="99"/>
      <c r="F105" s="99"/>
      <c r="G105" s="99">
        <v>1209</v>
      </c>
      <c r="H105" s="99">
        <v>1359</v>
      </c>
      <c r="I105" s="176">
        <f t="shared" si="9"/>
        <v>1209</v>
      </c>
      <c r="J105" s="53">
        <f t="shared" si="10"/>
        <v>1359</v>
      </c>
      <c r="K105" s="53">
        <f t="shared" si="8"/>
        <v>2568</v>
      </c>
    </row>
    <row r="106" spans="1:11" ht="15" customHeight="1">
      <c r="A106" s="95"/>
      <c r="B106" s="72" t="s">
        <v>155</v>
      </c>
      <c r="C106" s="99"/>
      <c r="D106" s="99"/>
      <c r="E106" s="99"/>
      <c r="F106" s="99"/>
      <c r="G106" s="99">
        <v>403</v>
      </c>
      <c r="H106" s="99">
        <v>453</v>
      </c>
      <c r="I106" s="176">
        <f t="shared" si="9"/>
        <v>403</v>
      </c>
      <c r="J106" s="53">
        <f t="shared" si="10"/>
        <v>453</v>
      </c>
      <c r="K106" s="53">
        <f t="shared" si="8"/>
        <v>856</v>
      </c>
    </row>
    <row r="107" spans="1:11" ht="15" customHeight="1">
      <c r="A107" s="95"/>
      <c r="B107" s="72" t="s">
        <v>476</v>
      </c>
      <c r="C107" s="99"/>
      <c r="D107" s="99"/>
      <c r="E107" s="99"/>
      <c r="F107" s="99"/>
      <c r="G107" s="99">
        <v>403</v>
      </c>
      <c r="H107" s="99">
        <v>453</v>
      </c>
      <c r="I107" s="176">
        <f t="shared" si="9"/>
        <v>403</v>
      </c>
      <c r="J107" s="53">
        <f t="shared" si="10"/>
        <v>453</v>
      </c>
      <c r="K107" s="53">
        <f t="shared" si="8"/>
        <v>856</v>
      </c>
    </row>
    <row r="108" spans="1:11" ht="15" customHeight="1">
      <c r="A108" s="95"/>
      <c r="B108" s="72" t="s">
        <v>216</v>
      </c>
      <c r="C108" s="99"/>
      <c r="D108" s="99"/>
      <c r="E108" s="99"/>
      <c r="F108" s="99"/>
      <c r="G108" s="99">
        <v>1209</v>
      </c>
      <c r="H108" s="99">
        <v>1359</v>
      </c>
      <c r="I108" s="176">
        <f t="shared" si="9"/>
        <v>1209</v>
      </c>
      <c r="J108" s="53">
        <f t="shared" si="10"/>
        <v>1359</v>
      </c>
      <c r="K108" s="53">
        <f t="shared" si="8"/>
        <v>2568</v>
      </c>
    </row>
    <row r="109" spans="1:11" ht="30" customHeight="1">
      <c r="A109" s="95" t="s">
        <v>477</v>
      </c>
      <c r="B109" s="72" t="s">
        <v>478</v>
      </c>
      <c r="C109" s="99"/>
      <c r="D109" s="99"/>
      <c r="E109" s="99"/>
      <c r="F109" s="99"/>
      <c r="G109" s="99">
        <f>26000+3300</f>
        <v>29300</v>
      </c>
      <c r="H109" s="99"/>
      <c r="I109" s="176">
        <f t="shared" si="11" ref="I109:I166">G109</f>
        <v>29300</v>
      </c>
      <c r="J109" s="53"/>
      <c r="K109" s="53">
        <f t="shared" si="8"/>
        <v>29300</v>
      </c>
    </row>
    <row r="110" spans="1:11" ht="15" customHeight="1">
      <c r="A110" s="95"/>
      <c r="B110" s="207" t="s">
        <v>479</v>
      </c>
      <c r="C110" s="99"/>
      <c r="D110" s="99"/>
      <c r="E110" s="99"/>
      <c r="F110" s="99"/>
      <c r="G110" s="99">
        <f>12789+35900</f>
        <v>48689</v>
      </c>
      <c r="H110" s="53"/>
      <c r="I110" s="176">
        <f t="shared" si="11"/>
        <v>48689</v>
      </c>
      <c r="J110" s="84"/>
      <c r="K110" s="53">
        <f>I110+J110</f>
        <v>48689</v>
      </c>
    </row>
    <row r="111" spans="1:11" ht="15" customHeight="1">
      <c r="A111" s="95" t="s">
        <v>855</v>
      </c>
      <c r="B111" s="207" t="s">
        <v>856</v>
      </c>
      <c r="C111" s="99"/>
      <c r="D111" s="99"/>
      <c r="E111" s="99"/>
      <c r="F111" s="99"/>
      <c r="G111" s="99">
        <v>6492</v>
      </c>
      <c r="H111" s="53"/>
      <c r="I111" s="176">
        <f t="shared" si="11"/>
        <v>6492</v>
      </c>
      <c r="J111" s="99"/>
      <c r="K111" s="53">
        <f>I111+J111</f>
        <v>6492</v>
      </c>
    </row>
    <row r="112" spans="1:11" ht="15" customHeight="1">
      <c r="A112" s="95"/>
      <c r="B112" s="114" t="s">
        <v>878</v>
      </c>
      <c r="C112" s="99"/>
      <c r="D112" s="99"/>
      <c r="E112" s="99"/>
      <c r="F112" s="99"/>
      <c r="G112" s="99">
        <v>8500</v>
      </c>
      <c r="H112" s="99"/>
      <c r="I112" s="176">
        <f t="shared" si="11"/>
        <v>8500</v>
      </c>
      <c r="J112" s="99"/>
      <c r="K112" s="53">
        <f>I112+J112</f>
        <v>8500</v>
      </c>
    </row>
    <row r="113" spans="1:11" ht="15" customHeight="1">
      <c r="A113" s="95" t="s">
        <v>852</v>
      </c>
      <c r="B113" s="207" t="s">
        <v>853</v>
      </c>
      <c r="C113" s="99"/>
      <c r="D113" s="99"/>
      <c r="E113" s="99"/>
      <c r="F113" s="99"/>
      <c r="G113" s="99">
        <v>21100</v>
      </c>
      <c r="H113" s="53"/>
      <c r="I113" s="176">
        <f t="shared" si="11"/>
        <v>21100</v>
      </c>
      <c r="J113" s="84"/>
      <c r="K113" s="53">
        <f>I113+J113</f>
        <v>21100</v>
      </c>
    </row>
    <row r="114" spans="1:11" ht="15" customHeight="1">
      <c r="A114" s="95"/>
      <c r="B114" s="71" t="s">
        <v>848</v>
      </c>
      <c r="C114" s="99"/>
      <c r="D114" s="99"/>
      <c r="E114" s="99"/>
      <c r="F114" s="99"/>
      <c r="G114" s="99">
        <v>2400</v>
      </c>
      <c r="H114" s="53"/>
      <c r="I114" s="176">
        <f t="shared" si="11"/>
        <v>2400</v>
      </c>
      <c r="J114" s="53"/>
      <c r="K114" s="53">
        <f t="shared" si="12" ref="K114:K119">I114+J114</f>
        <v>2400</v>
      </c>
    </row>
    <row r="115" spans="1:11" ht="38.25" customHeight="1">
      <c r="A115" s="95"/>
      <c r="B115" s="71" t="s">
        <v>846</v>
      </c>
      <c r="C115" s="99"/>
      <c r="D115" s="99"/>
      <c r="E115" s="99"/>
      <c r="F115" s="99"/>
      <c r="G115" s="99">
        <v>2000</v>
      </c>
      <c r="H115" s="53"/>
      <c r="I115" s="176">
        <f t="shared" si="11"/>
        <v>2000</v>
      </c>
      <c r="J115" s="53"/>
      <c r="K115" s="53">
        <f t="shared" si="12"/>
        <v>2000</v>
      </c>
    </row>
    <row r="116" spans="1:11" ht="15" customHeight="1">
      <c r="A116" s="95"/>
      <c r="B116" s="71" t="s">
        <v>847</v>
      </c>
      <c r="C116" s="99"/>
      <c r="D116" s="99"/>
      <c r="E116" s="99"/>
      <c r="F116" s="99"/>
      <c r="G116" s="99">
        <v>1000</v>
      </c>
      <c r="H116" s="53"/>
      <c r="I116" s="176">
        <f t="shared" si="11"/>
        <v>1000</v>
      </c>
      <c r="J116" s="53"/>
      <c r="K116" s="53">
        <f t="shared" si="12"/>
        <v>1000</v>
      </c>
    </row>
    <row r="117" spans="1:11" ht="33" customHeight="1">
      <c r="A117" s="95"/>
      <c r="B117" s="71" t="s">
        <v>854</v>
      </c>
      <c r="C117" s="99"/>
      <c r="D117" s="99"/>
      <c r="E117" s="99"/>
      <c r="F117" s="99"/>
      <c r="G117" s="99">
        <v>400</v>
      </c>
      <c r="H117" s="53"/>
      <c r="I117" s="176">
        <f t="shared" si="11"/>
        <v>400</v>
      </c>
      <c r="J117" s="53"/>
      <c r="K117" s="53">
        <f t="shared" si="12"/>
        <v>400</v>
      </c>
    </row>
    <row r="118" spans="1:11" ht="33.75" customHeight="1">
      <c r="A118" s="95"/>
      <c r="B118" s="71" t="s">
        <v>850</v>
      </c>
      <c r="C118" s="99"/>
      <c r="D118" s="99"/>
      <c r="E118" s="99"/>
      <c r="F118" s="99"/>
      <c r="G118" s="99">
        <v>10000</v>
      </c>
      <c r="H118" s="53"/>
      <c r="I118" s="176">
        <f t="shared" si="11"/>
        <v>10000</v>
      </c>
      <c r="J118" s="53"/>
      <c r="K118" s="53">
        <f t="shared" si="12"/>
        <v>10000</v>
      </c>
    </row>
    <row r="119" spans="1:11" ht="37.5" customHeight="1">
      <c r="A119" s="95"/>
      <c r="B119" s="71" t="s">
        <v>849</v>
      </c>
      <c r="C119" s="99"/>
      <c r="D119" s="99"/>
      <c r="E119" s="99"/>
      <c r="F119" s="99"/>
      <c r="G119" s="99">
        <v>5300</v>
      </c>
      <c r="H119" s="53"/>
      <c r="I119" s="176">
        <f t="shared" si="11"/>
        <v>5300</v>
      </c>
      <c r="J119" s="53"/>
      <c r="K119" s="53">
        <f t="shared" si="12"/>
        <v>5300</v>
      </c>
    </row>
    <row r="120" spans="1:11" ht="30" customHeight="1">
      <c r="A120" s="95" t="s">
        <v>480</v>
      </c>
      <c r="B120" s="72" t="s">
        <v>748</v>
      </c>
      <c r="C120" s="99"/>
      <c r="D120" s="99"/>
      <c r="E120" s="99"/>
      <c r="F120" s="99"/>
      <c r="G120" s="99">
        <f>4770+510</f>
        <v>5280</v>
      </c>
      <c r="H120" s="53"/>
      <c r="I120" s="176">
        <f t="shared" si="11"/>
        <v>5280</v>
      </c>
      <c r="J120" s="53"/>
      <c r="K120" s="53">
        <f t="shared" si="8"/>
        <v>5280</v>
      </c>
    </row>
    <row r="121" spans="1:11" ht="25.5" customHeight="1">
      <c r="A121" s="95" t="s">
        <v>491</v>
      </c>
      <c r="B121" s="72" t="s">
        <v>864</v>
      </c>
      <c r="C121" s="99"/>
      <c r="D121" s="99"/>
      <c r="E121" s="99"/>
      <c r="F121" s="99"/>
      <c r="G121" s="99">
        <v>97012</v>
      </c>
      <c r="H121" s="99">
        <f>4177+2813+2559+2369</f>
        <v>11918</v>
      </c>
      <c r="I121" s="176">
        <f t="shared" si="11"/>
        <v>97012</v>
      </c>
      <c r="J121" s="53">
        <f>H121</f>
        <v>11918</v>
      </c>
      <c r="K121" s="53">
        <f t="shared" si="8"/>
        <v>108930</v>
      </c>
    </row>
    <row r="122" spans="1:11" ht="15" customHeight="1">
      <c r="A122" s="95" t="s">
        <v>481</v>
      </c>
      <c r="B122" s="95" t="s">
        <v>482</v>
      </c>
      <c r="C122" s="99"/>
      <c r="D122" s="99"/>
      <c r="E122" s="99"/>
      <c r="F122" s="99"/>
      <c r="G122" s="99">
        <f>SUM(G123:G131)</f>
        <v>115434</v>
      </c>
      <c r="H122" s="99"/>
      <c r="I122" s="176">
        <f t="shared" si="11"/>
        <v>115434</v>
      </c>
      <c r="J122" s="84"/>
      <c r="K122" s="53">
        <f t="shared" si="8"/>
        <v>115434</v>
      </c>
    </row>
    <row r="123" spans="1:11" s="88" customFormat="1" ht="15" customHeight="1">
      <c r="A123" s="144"/>
      <c r="B123" s="119" t="s">
        <v>483</v>
      </c>
      <c r="C123" s="118"/>
      <c r="D123" s="118"/>
      <c r="E123" s="118"/>
      <c r="F123" s="118"/>
      <c r="G123" s="118">
        <v>12896</v>
      </c>
      <c r="H123" s="118"/>
      <c r="I123" s="177">
        <f t="shared" si="11"/>
        <v>12896</v>
      </c>
      <c r="J123" s="179"/>
      <c r="K123" s="53">
        <f t="shared" si="8"/>
        <v>12896</v>
      </c>
    </row>
    <row r="124" spans="1:11" s="88" customFormat="1" ht="15" customHeight="1">
      <c r="A124" s="144"/>
      <c r="B124" s="119" t="s">
        <v>484</v>
      </c>
      <c r="C124" s="118"/>
      <c r="D124" s="118"/>
      <c r="E124" s="118"/>
      <c r="F124" s="118"/>
      <c r="G124" s="118">
        <v>12266</v>
      </c>
      <c r="H124" s="118"/>
      <c r="I124" s="177">
        <f t="shared" si="11"/>
        <v>12266</v>
      </c>
      <c r="J124" s="179"/>
      <c r="K124" s="53">
        <f t="shared" si="8"/>
        <v>12266</v>
      </c>
    </row>
    <row r="125" spans="1:11" s="88" customFormat="1" ht="15" customHeight="1">
      <c r="A125" s="144"/>
      <c r="B125" s="119" t="s">
        <v>485</v>
      </c>
      <c r="C125" s="118"/>
      <c r="D125" s="118"/>
      <c r="E125" s="118"/>
      <c r="F125" s="118"/>
      <c r="G125" s="118">
        <v>12896</v>
      </c>
      <c r="H125" s="118"/>
      <c r="I125" s="177">
        <f t="shared" si="11"/>
        <v>12896</v>
      </c>
      <c r="J125" s="179"/>
      <c r="K125" s="53">
        <f t="shared" si="8"/>
        <v>12896</v>
      </c>
    </row>
    <row r="126" spans="1:11" s="88" customFormat="1" ht="15" customHeight="1">
      <c r="A126" s="144"/>
      <c r="B126" s="119" t="s">
        <v>486</v>
      </c>
      <c r="C126" s="118"/>
      <c r="D126" s="118"/>
      <c r="E126" s="118"/>
      <c r="F126" s="118"/>
      <c r="G126" s="118">
        <v>12896</v>
      </c>
      <c r="H126" s="118"/>
      <c r="I126" s="177">
        <f t="shared" si="11"/>
        <v>12896</v>
      </c>
      <c r="J126" s="179"/>
      <c r="K126" s="53">
        <f t="shared" si="8"/>
        <v>12896</v>
      </c>
    </row>
    <row r="127" spans="1:11" s="88" customFormat="1" ht="15" customHeight="1">
      <c r="A127" s="144"/>
      <c r="B127" s="119" t="s">
        <v>487</v>
      </c>
      <c r="C127" s="118"/>
      <c r="D127" s="118"/>
      <c r="E127" s="118"/>
      <c r="F127" s="118"/>
      <c r="G127" s="118">
        <v>12896</v>
      </c>
      <c r="H127" s="118"/>
      <c r="I127" s="177">
        <f t="shared" si="11"/>
        <v>12896</v>
      </c>
      <c r="J127" s="179"/>
      <c r="K127" s="53">
        <f t="shared" si="8"/>
        <v>12896</v>
      </c>
    </row>
    <row r="128" spans="1:11" s="88" customFormat="1" ht="15" customHeight="1">
      <c r="A128" s="144"/>
      <c r="B128" s="119" t="s">
        <v>488</v>
      </c>
      <c r="C128" s="118"/>
      <c r="D128" s="118"/>
      <c r="E128" s="118"/>
      <c r="F128" s="118"/>
      <c r="G128" s="118">
        <v>12896</v>
      </c>
      <c r="H128" s="118"/>
      <c r="I128" s="177">
        <f t="shared" si="11"/>
        <v>12896</v>
      </c>
      <c r="J128" s="179"/>
      <c r="K128" s="53">
        <f t="shared" si="8"/>
        <v>12896</v>
      </c>
    </row>
    <row r="129" spans="1:11" s="88" customFormat="1" ht="15" customHeight="1">
      <c r="A129" s="144"/>
      <c r="B129" s="119" t="s">
        <v>152</v>
      </c>
      <c r="C129" s="118"/>
      <c r="D129" s="118"/>
      <c r="E129" s="118"/>
      <c r="F129" s="118"/>
      <c r="G129" s="118">
        <v>12896</v>
      </c>
      <c r="H129" s="118"/>
      <c r="I129" s="177">
        <f t="shared" si="11"/>
        <v>12896</v>
      </c>
      <c r="J129" s="179"/>
      <c r="K129" s="53">
        <f t="shared" si="8"/>
        <v>12896</v>
      </c>
    </row>
    <row r="130" spans="1:11" s="88" customFormat="1" ht="15" customHeight="1">
      <c r="A130" s="144"/>
      <c r="B130" s="119" t="s">
        <v>489</v>
      </c>
      <c r="C130" s="118"/>
      <c r="D130" s="118"/>
      <c r="E130" s="118"/>
      <c r="F130" s="118"/>
      <c r="G130" s="118">
        <v>12896</v>
      </c>
      <c r="H130" s="118"/>
      <c r="I130" s="177">
        <f t="shared" si="11"/>
        <v>12896</v>
      </c>
      <c r="J130" s="179"/>
      <c r="K130" s="53">
        <f t="shared" si="8"/>
        <v>12896</v>
      </c>
    </row>
    <row r="131" spans="1:11" s="88" customFormat="1" ht="15" customHeight="1">
      <c r="A131" s="144"/>
      <c r="B131" s="119" t="s">
        <v>490</v>
      </c>
      <c r="C131" s="118"/>
      <c r="D131" s="118"/>
      <c r="E131" s="118"/>
      <c r="F131" s="118"/>
      <c r="G131" s="118">
        <v>12896</v>
      </c>
      <c r="H131" s="118"/>
      <c r="I131" s="177">
        <f t="shared" si="11"/>
        <v>12896</v>
      </c>
      <c r="J131" s="179"/>
      <c r="K131" s="53">
        <f t="shared" si="8"/>
        <v>12896</v>
      </c>
    </row>
    <row r="132" spans="1:11" ht="15" customHeight="1">
      <c r="A132" s="95"/>
      <c r="B132" s="116" t="s">
        <v>188</v>
      </c>
      <c r="C132" s="99"/>
      <c r="D132" s="99"/>
      <c r="E132" s="99"/>
      <c r="F132" s="99"/>
      <c r="G132" s="118">
        <v>19829</v>
      </c>
      <c r="H132" s="118">
        <v>5226</v>
      </c>
      <c r="I132" s="177">
        <f t="shared" si="11"/>
        <v>19829</v>
      </c>
      <c r="J132" s="53">
        <f>H132</f>
        <v>5226</v>
      </c>
      <c r="K132" s="53">
        <f t="shared" si="8"/>
        <v>25055</v>
      </c>
    </row>
    <row r="133" spans="1:11" ht="30" customHeight="1">
      <c r="A133" s="95" t="s">
        <v>491</v>
      </c>
      <c r="B133" s="94" t="s">
        <v>492</v>
      </c>
      <c r="C133" s="99"/>
      <c r="D133" s="99"/>
      <c r="E133" s="99"/>
      <c r="F133" s="99"/>
      <c r="G133" s="99">
        <v>632852</v>
      </c>
      <c r="H133" s="99"/>
      <c r="I133" s="176">
        <f t="shared" si="11"/>
        <v>632852</v>
      </c>
      <c r="J133" s="84"/>
      <c r="K133" s="53">
        <f t="shared" si="8"/>
        <v>632852</v>
      </c>
    </row>
    <row r="134" spans="1:11" ht="30" customHeight="1">
      <c r="A134" s="95"/>
      <c r="B134" s="207" t="s">
        <v>251</v>
      </c>
      <c r="C134" s="99"/>
      <c r="D134" s="99"/>
      <c r="E134" s="99"/>
      <c r="F134" s="99"/>
      <c r="G134" s="99">
        <v>46467</v>
      </c>
      <c r="H134" s="99"/>
      <c r="I134" s="176">
        <f t="shared" si="11"/>
        <v>46467</v>
      </c>
      <c r="J134" s="84"/>
      <c r="K134" s="53">
        <f t="shared" si="8"/>
        <v>46467</v>
      </c>
    </row>
    <row r="135" spans="1:11" ht="30" customHeight="1">
      <c r="A135" s="95"/>
      <c r="B135" s="207" t="s">
        <v>862</v>
      </c>
      <c r="C135" s="99"/>
      <c r="D135" s="99"/>
      <c r="E135" s="99"/>
      <c r="F135" s="99"/>
      <c r="G135" s="99">
        <v>40280</v>
      </c>
      <c r="H135" s="99"/>
      <c r="I135" s="176">
        <f t="shared" si="11"/>
        <v>40280</v>
      </c>
      <c r="J135" s="84"/>
      <c r="K135" s="53">
        <f>I135+J135</f>
        <v>40280</v>
      </c>
    </row>
    <row r="136" spans="1:11" ht="36.75" customHeight="1">
      <c r="A136" s="95"/>
      <c r="B136" s="208" t="s">
        <v>898</v>
      </c>
      <c r="C136" s="99"/>
      <c r="D136" s="99"/>
      <c r="E136" s="99"/>
      <c r="F136" s="99"/>
      <c r="G136" s="99">
        <v>450</v>
      </c>
      <c r="H136" s="99"/>
      <c r="I136" s="176">
        <f t="shared" si="11"/>
        <v>450</v>
      </c>
      <c r="J136" s="84"/>
      <c r="K136" s="53">
        <f>I136+J136</f>
        <v>450</v>
      </c>
    </row>
    <row r="137" spans="1:11" ht="36.75" customHeight="1">
      <c r="A137" s="95"/>
      <c r="B137" s="207" t="s">
        <v>909</v>
      </c>
      <c r="C137" s="99"/>
      <c r="D137" s="99"/>
      <c r="E137" s="99"/>
      <c r="F137" s="99"/>
      <c r="G137" s="99">
        <v>0</v>
      </c>
      <c r="H137" s="99">
        <v>42225</v>
      </c>
      <c r="I137" s="176">
        <f t="shared" si="11"/>
        <v>0</v>
      </c>
      <c r="J137" s="53">
        <f>H137</f>
        <v>42225</v>
      </c>
      <c r="K137" s="53">
        <f>I137+J137</f>
        <v>42225</v>
      </c>
    </row>
    <row r="138" spans="1:11" ht="30" customHeight="1">
      <c r="A138" s="95" t="s">
        <v>766</v>
      </c>
      <c r="B138" s="207" t="s">
        <v>767</v>
      </c>
      <c r="C138" s="99"/>
      <c r="D138" s="99"/>
      <c r="E138" s="99"/>
      <c r="F138" s="99"/>
      <c r="G138" s="99">
        <v>60100</v>
      </c>
      <c r="H138" s="53"/>
      <c r="I138" s="176">
        <f t="shared" si="11"/>
        <v>60100</v>
      </c>
      <c r="J138" s="53"/>
      <c r="K138" s="53">
        <f t="shared" si="8"/>
        <v>60100</v>
      </c>
    </row>
    <row r="139" spans="1:11" ht="30" customHeight="1">
      <c r="A139" s="95" t="s">
        <v>817</v>
      </c>
      <c r="B139" s="207" t="s">
        <v>816</v>
      </c>
      <c r="C139" s="99"/>
      <c r="D139" s="99"/>
      <c r="E139" s="99"/>
      <c r="F139" s="99"/>
      <c r="G139" s="99">
        <v>109439</v>
      </c>
      <c r="H139" s="53"/>
      <c r="I139" s="176">
        <f t="shared" si="11"/>
        <v>109439</v>
      </c>
      <c r="J139" s="53"/>
      <c r="K139" s="53">
        <f>I139+J139</f>
        <v>109439</v>
      </c>
    </row>
    <row r="140" spans="1:11" ht="22.5" customHeight="1">
      <c r="A140" s="95" t="s">
        <v>493</v>
      </c>
      <c r="B140" s="71" t="s">
        <v>680</v>
      </c>
      <c r="C140" s="99"/>
      <c r="D140" s="99"/>
      <c r="E140" s="99"/>
      <c r="F140" s="99"/>
      <c r="G140" s="99">
        <v>34992</v>
      </c>
      <c r="H140" s="53"/>
      <c r="I140" s="200">
        <f t="shared" si="11"/>
        <v>34992</v>
      </c>
      <c r="J140" s="84"/>
      <c r="K140" s="53">
        <f t="shared" si="8"/>
        <v>34992</v>
      </c>
    </row>
    <row r="141" spans="1:11" ht="30" customHeight="1">
      <c r="A141" s="95" t="s">
        <v>494</v>
      </c>
      <c r="B141" s="71" t="s">
        <v>685</v>
      </c>
      <c r="C141" s="99"/>
      <c r="D141" s="99"/>
      <c r="E141" s="99"/>
      <c r="F141" s="99"/>
      <c r="G141" s="99">
        <f>2000+3846</f>
        <v>5846</v>
      </c>
      <c r="H141" s="99">
        <v>20531</v>
      </c>
      <c r="I141" s="176">
        <f t="shared" si="11"/>
        <v>5846</v>
      </c>
      <c r="J141" s="53">
        <f>H141</f>
        <v>20531</v>
      </c>
      <c r="K141" s="53">
        <f t="shared" si="8"/>
        <v>26377</v>
      </c>
    </row>
    <row r="142" spans="1:11" ht="30" customHeight="1">
      <c r="A142" s="95"/>
      <c r="B142" s="71" t="s">
        <v>867</v>
      </c>
      <c r="C142" s="99"/>
      <c r="D142" s="99"/>
      <c r="E142" s="99"/>
      <c r="F142" s="99"/>
      <c r="G142" s="99">
        <v>6301</v>
      </c>
      <c r="H142" s="99"/>
      <c r="I142" s="176">
        <f t="shared" si="11"/>
        <v>6301</v>
      </c>
      <c r="J142" s="53"/>
      <c r="K142" s="53">
        <f t="shared" si="8"/>
        <v>6301</v>
      </c>
    </row>
    <row r="143" spans="1:11" ht="34.5" customHeight="1">
      <c r="A143" s="95"/>
      <c r="B143" s="229" t="s">
        <v>887</v>
      </c>
      <c r="C143" s="99"/>
      <c r="D143" s="99"/>
      <c r="E143" s="99"/>
      <c r="F143" s="99"/>
      <c r="G143" s="99">
        <v>3267</v>
      </c>
      <c r="H143" s="99"/>
      <c r="I143" s="176">
        <f t="shared" si="11"/>
        <v>3267</v>
      </c>
      <c r="J143" s="53"/>
      <c r="K143" s="53">
        <f t="shared" si="8"/>
        <v>3267</v>
      </c>
    </row>
    <row r="144" spans="1:11" ht="20.25" customHeight="1">
      <c r="A144" s="95" t="s">
        <v>494</v>
      </c>
      <c r="B144" s="106" t="s">
        <v>818</v>
      </c>
      <c r="C144" s="99"/>
      <c r="D144" s="99"/>
      <c r="E144" s="99"/>
      <c r="F144" s="99"/>
      <c r="G144" s="92">
        <v>18531</v>
      </c>
      <c r="H144" s="92"/>
      <c r="I144" s="176">
        <f t="shared" si="11"/>
        <v>18531</v>
      </c>
      <c r="J144" s="84"/>
      <c r="K144" s="53">
        <f t="shared" si="8"/>
        <v>18531</v>
      </c>
    </row>
    <row r="145" spans="1:11" s="86" customFormat="1" ht="21.75" customHeight="1">
      <c r="A145" s="95" t="s">
        <v>495</v>
      </c>
      <c r="B145" s="165" t="s">
        <v>496</v>
      </c>
      <c r="C145" s="99"/>
      <c r="D145" s="99"/>
      <c r="E145" s="99"/>
      <c r="F145" s="99"/>
      <c r="G145" s="99">
        <v>245193</v>
      </c>
      <c r="H145" s="99"/>
      <c r="I145" s="176">
        <f t="shared" si="11"/>
        <v>245193</v>
      </c>
      <c r="J145" s="84"/>
      <c r="K145" s="53">
        <f t="shared" si="8"/>
        <v>245193</v>
      </c>
    </row>
    <row r="146" spans="1:12" ht="69.75" customHeight="1">
      <c r="A146" s="96" t="s">
        <v>497</v>
      </c>
      <c r="B146" s="97" t="s">
        <v>498</v>
      </c>
      <c r="C146" s="98"/>
      <c r="D146" s="98"/>
      <c r="E146" s="98"/>
      <c r="F146" s="98"/>
      <c r="G146" s="98">
        <f>SUM(G147:G164)</f>
        <v>308395</v>
      </c>
      <c r="H146" s="98">
        <f>SUM(H147:H164)</f>
        <v>18476</v>
      </c>
      <c r="I146" s="175">
        <f>G146</f>
        <v>308395</v>
      </c>
      <c r="J146" s="175">
        <f>H146</f>
        <v>18476</v>
      </c>
      <c r="K146" s="98">
        <f>I146+J146</f>
        <v>326871</v>
      </c>
      <c r="L146" s="100"/>
    </row>
    <row r="147" spans="1:11" ht="15" customHeight="1">
      <c r="A147" s="95" t="s">
        <v>499</v>
      </c>
      <c r="B147" s="165" t="s">
        <v>500</v>
      </c>
      <c r="C147" s="98"/>
      <c r="D147" s="98"/>
      <c r="E147" s="99"/>
      <c r="F147" s="99"/>
      <c r="G147" s="99">
        <v>20000</v>
      </c>
      <c r="H147" s="99"/>
      <c r="I147" s="176">
        <f t="shared" si="11"/>
        <v>20000</v>
      </c>
      <c r="J147" s="84"/>
      <c r="K147" s="53">
        <f t="shared" si="8"/>
        <v>20000</v>
      </c>
    </row>
    <row r="148" spans="1:11" ht="18" customHeight="1">
      <c r="A148" s="95" t="s">
        <v>501</v>
      </c>
      <c r="B148" s="114" t="s">
        <v>61</v>
      </c>
      <c r="C148" s="98"/>
      <c r="D148" s="98"/>
      <c r="E148" s="99"/>
      <c r="F148" s="99"/>
      <c r="G148" s="99">
        <v>9232</v>
      </c>
      <c r="H148" s="99"/>
      <c r="I148" s="176">
        <f t="shared" si="11"/>
        <v>9232</v>
      </c>
      <c r="J148" s="84"/>
      <c r="K148" s="53">
        <f t="shared" si="8"/>
        <v>9232</v>
      </c>
    </row>
    <row r="149" spans="1:11" ht="30" customHeight="1">
      <c r="A149" s="95"/>
      <c r="B149" s="165" t="s">
        <v>239</v>
      </c>
      <c r="C149" s="98"/>
      <c r="D149" s="98"/>
      <c r="E149" s="99"/>
      <c r="F149" s="99"/>
      <c r="G149" s="99">
        <v>23000</v>
      </c>
      <c r="H149" s="99"/>
      <c r="I149" s="176">
        <f t="shared" si="11"/>
        <v>23000</v>
      </c>
      <c r="J149" s="84"/>
      <c r="K149" s="53">
        <f t="shared" si="8"/>
        <v>23000</v>
      </c>
    </row>
    <row r="150" spans="1:11" ht="32.25" customHeight="1">
      <c r="A150" s="95"/>
      <c r="B150" s="165" t="s">
        <v>240</v>
      </c>
      <c r="C150" s="98"/>
      <c r="D150" s="98"/>
      <c r="E150" s="99"/>
      <c r="F150" s="99"/>
      <c r="G150" s="99"/>
      <c r="H150" s="99"/>
      <c r="I150" s="176">
        <f t="shared" si="11"/>
        <v>0</v>
      </c>
      <c r="J150" s="84"/>
      <c r="K150" s="53">
        <f t="shared" si="8"/>
        <v>0</v>
      </c>
    </row>
    <row r="151" spans="1:11" ht="40.5" customHeight="1">
      <c r="A151" s="95"/>
      <c r="B151" s="114" t="s">
        <v>772</v>
      </c>
      <c r="C151" s="98"/>
      <c r="D151" s="98"/>
      <c r="E151" s="99"/>
      <c r="F151" s="99"/>
      <c r="G151" s="99">
        <v>6386</v>
      </c>
      <c r="H151" s="99"/>
      <c r="I151" s="176">
        <f t="shared" si="11"/>
        <v>6386</v>
      </c>
      <c r="J151" s="84"/>
      <c r="K151" s="53">
        <f t="shared" si="8"/>
        <v>6386</v>
      </c>
    </row>
    <row r="152" spans="1:11" ht="49.5" customHeight="1">
      <c r="A152" s="95"/>
      <c r="B152" s="114" t="s">
        <v>768</v>
      </c>
      <c r="C152" s="98"/>
      <c r="D152" s="98"/>
      <c r="E152" s="99"/>
      <c r="F152" s="99"/>
      <c r="G152" s="99">
        <v>1000</v>
      </c>
      <c r="H152" s="99"/>
      <c r="I152" s="176">
        <f t="shared" si="11"/>
        <v>1000</v>
      </c>
      <c r="J152" s="84"/>
      <c r="K152" s="53">
        <f t="shared" si="8"/>
        <v>1000</v>
      </c>
    </row>
    <row r="153" spans="1:11" ht="38.25" customHeight="1">
      <c r="A153" s="95"/>
      <c r="B153" s="72" t="s">
        <v>749</v>
      </c>
      <c r="C153" s="98"/>
      <c r="D153" s="98"/>
      <c r="E153" s="99"/>
      <c r="F153" s="99"/>
      <c r="G153" s="99">
        <v>8000</v>
      </c>
      <c r="H153" s="99"/>
      <c r="I153" s="176">
        <f t="shared" si="11"/>
        <v>8000</v>
      </c>
      <c r="J153" s="84"/>
      <c r="K153" s="53">
        <f t="shared" si="8"/>
        <v>8000</v>
      </c>
    </row>
    <row r="154" spans="1:11" ht="38.25" customHeight="1">
      <c r="A154" s="95"/>
      <c r="B154" s="72" t="s">
        <v>859</v>
      </c>
      <c r="C154" s="98"/>
      <c r="D154" s="98"/>
      <c r="E154" s="99"/>
      <c r="F154" s="99"/>
      <c r="G154" s="99">
        <v>3500</v>
      </c>
      <c r="H154" s="99"/>
      <c r="I154" s="176">
        <f t="shared" si="11"/>
        <v>3500</v>
      </c>
      <c r="J154" s="53"/>
      <c r="K154" s="53">
        <f t="shared" si="8"/>
        <v>3500</v>
      </c>
    </row>
    <row r="155" spans="1:11" ht="38.25" customHeight="1">
      <c r="A155" s="95"/>
      <c r="B155" s="72" t="s">
        <v>858</v>
      </c>
      <c r="C155" s="98"/>
      <c r="D155" s="98"/>
      <c r="E155" s="99"/>
      <c r="F155" s="99"/>
      <c r="G155" s="99">
        <v>36004</v>
      </c>
      <c r="H155" s="99"/>
      <c r="I155" s="176">
        <f t="shared" si="11"/>
        <v>36004</v>
      </c>
      <c r="J155" s="53"/>
      <c r="K155" s="53">
        <f t="shared" si="8"/>
        <v>36004</v>
      </c>
    </row>
    <row r="156" spans="1:11" ht="24.75" customHeight="1">
      <c r="A156" s="95"/>
      <c r="B156" s="72" t="s">
        <v>851</v>
      </c>
      <c r="C156" s="98"/>
      <c r="D156" s="98"/>
      <c r="E156" s="99"/>
      <c r="F156" s="99"/>
      <c r="G156" s="99"/>
      <c r="H156" s="99"/>
      <c r="I156" s="176">
        <f t="shared" si="11"/>
        <v>0</v>
      </c>
      <c r="J156" s="53"/>
      <c r="K156" s="53">
        <f t="shared" si="8"/>
        <v>0</v>
      </c>
    </row>
    <row r="157" spans="1:11" ht="36" customHeight="1">
      <c r="A157" s="95"/>
      <c r="B157" s="72" t="s">
        <v>747</v>
      </c>
      <c r="C157" s="98"/>
      <c r="D157" s="98"/>
      <c r="E157" s="99"/>
      <c r="F157" s="99"/>
      <c r="G157" s="99">
        <v>7079</v>
      </c>
      <c r="H157" s="99"/>
      <c r="I157" s="176">
        <f t="shared" si="11"/>
        <v>7079</v>
      </c>
      <c r="J157" s="84"/>
      <c r="K157" s="53">
        <f t="shared" si="8"/>
        <v>7079</v>
      </c>
    </row>
    <row r="158" spans="1:11" ht="36" customHeight="1">
      <c r="A158" s="95"/>
      <c r="B158" s="94" t="s">
        <v>900</v>
      </c>
      <c r="C158" s="98"/>
      <c r="D158" s="98"/>
      <c r="E158" s="99"/>
      <c r="F158" s="99"/>
      <c r="G158" s="99"/>
      <c r="H158" s="92">
        <v>945</v>
      </c>
      <c r="I158" s="176"/>
      <c r="J158" s="53">
        <f>H158</f>
        <v>945</v>
      </c>
      <c r="K158" s="53">
        <f t="shared" si="8"/>
        <v>945</v>
      </c>
    </row>
    <row r="159" spans="1:11" ht="21" customHeight="1">
      <c r="A159" s="95"/>
      <c r="B159" s="94" t="s">
        <v>902</v>
      </c>
      <c r="C159" s="98"/>
      <c r="D159" s="98"/>
      <c r="E159" s="99"/>
      <c r="F159" s="99"/>
      <c r="G159" s="99"/>
      <c r="H159" s="99">
        <v>5018</v>
      </c>
      <c r="I159" s="176"/>
      <c r="J159" s="53">
        <f>H159</f>
        <v>5018</v>
      </c>
      <c r="K159" s="53">
        <f t="shared" si="8"/>
        <v>5018</v>
      </c>
    </row>
    <row r="160" spans="1:11" ht="24.75" customHeight="1">
      <c r="A160" s="95" t="s">
        <v>886</v>
      </c>
      <c r="B160" s="114" t="s">
        <v>885</v>
      </c>
      <c r="C160" s="98"/>
      <c r="D160" s="98"/>
      <c r="E160" s="99"/>
      <c r="F160" s="99"/>
      <c r="G160" s="99">
        <v>5631</v>
      </c>
      <c r="H160" s="99"/>
      <c r="I160" s="176">
        <f t="shared" si="11"/>
        <v>5631</v>
      </c>
      <c r="J160" s="53"/>
      <c r="K160" s="53">
        <f t="shared" si="8"/>
        <v>5631</v>
      </c>
    </row>
    <row r="161" spans="1:11" ht="66" customHeight="1">
      <c r="A161" s="95"/>
      <c r="B161" s="114" t="s">
        <v>894</v>
      </c>
      <c r="C161" s="98"/>
      <c r="D161" s="98"/>
      <c r="E161" s="99"/>
      <c r="F161" s="99"/>
      <c r="G161" s="99">
        <v>94550</v>
      </c>
      <c r="H161" s="99"/>
      <c r="I161" s="176">
        <f t="shared" si="11"/>
        <v>94550</v>
      </c>
      <c r="J161" s="53">
        <f>H161</f>
        <v>0</v>
      </c>
      <c r="K161" s="53">
        <f t="shared" si="8"/>
        <v>94550</v>
      </c>
    </row>
    <row r="162" spans="1:11" ht="62.25" customHeight="1">
      <c r="A162" s="95" t="s">
        <v>893</v>
      </c>
      <c r="B162" s="164" t="s">
        <v>897</v>
      </c>
      <c r="C162" s="98"/>
      <c r="D162" s="98"/>
      <c r="E162" s="99"/>
      <c r="F162" s="99"/>
      <c r="G162" s="99">
        <v>90175</v>
      </c>
      <c r="H162" s="99">
        <v>12513</v>
      </c>
      <c r="I162" s="176">
        <f t="shared" si="11"/>
        <v>90175</v>
      </c>
      <c r="J162" s="53">
        <f>H162</f>
        <v>12513</v>
      </c>
      <c r="K162" s="53">
        <f t="shared" si="8"/>
        <v>102688</v>
      </c>
    </row>
    <row r="163" spans="1:11" ht="51" customHeight="1">
      <c r="A163" s="95" t="s">
        <v>876</v>
      </c>
      <c r="B163" s="94" t="s">
        <v>875</v>
      </c>
      <c r="C163" s="98"/>
      <c r="D163" s="98"/>
      <c r="E163" s="99"/>
      <c r="F163" s="99"/>
      <c r="G163" s="99">
        <v>1078</v>
      </c>
      <c r="H163" s="99"/>
      <c r="I163" s="176">
        <f t="shared" si="11"/>
        <v>1078</v>
      </c>
      <c r="J163" s="53"/>
      <c r="K163" s="53">
        <f t="shared" si="8"/>
        <v>1078</v>
      </c>
    </row>
    <row r="164" spans="1:11" ht="33.75" customHeight="1">
      <c r="A164" s="95" t="s">
        <v>502</v>
      </c>
      <c r="B164" s="165" t="s">
        <v>503</v>
      </c>
      <c r="C164" s="98"/>
      <c r="D164" s="98"/>
      <c r="E164" s="99"/>
      <c r="F164" s="99"/>
      <c r="G164" s="99">
        <v>2760</v>
      </c>
      <c r="H164" s="99"/>
      <c r="I164" s="176">
        <f t="shared" si="11"/>
        <v>2760</v>
      </c>
      <c r="J164" s="180"/>
      <c r="K164" s="53">
        <f t="shared" si="8"/>
        <v>2760</v>
      </c>
    </row>
    <row r="165" spans="1:11" s="86" customFormat="1" ht="33.75" customHeight="1">
      <c r="A165" s="96" t="s">
        <v>504</v>
      </c>
      <c r="B165" s="97" t="s">
        <v>505</v>
      </c>
      <c r="C165" s="98"/>
      <c r="D165" s="98"/>
      <c r="E165" s="98"/>
      <c r="F165" s="98"/>
      <c r="G165" s="98">
        <v>6066083</v>
      </c>
      <c r="H165" s="98"/>
      <c r="I165" s="175">
        <f t="shared" si="11"/>
        <v>6066083</v>
      </c>
      <c r="J165" s="83"/>
      <c r="K165" s="188">
        <f t="shared" si="8"/>
        <v>6066083</v>
      </c>
    </row>
    <row r="166" spans="1:11" s="86" customFormat="1" ht="35.25" customHeight="1">
      <c r="A166" s="96" t="s">
        <v>742</v>
      </c>
      <c r="B166" s="166" t="s">
        <v>743</v>
      </c>
      <c r="C166" s="98"/>
      <c r="D166" s="98"/>
      <c r="E166" s="98"/>
      <c r="F166" s="98"/>
      <c r="G166" s="98">
        <v>366546</v>
      </c>
      <c r="H166" s="98"/>
      <c r="I166" s="175">
        <f t="shared" si="11"/>
        <v>366546</v>
      </c>
      <c r="J166" s="181"/>
      <c r="K166" s="98">
        <f t="shared" si="8"/>
        <v>366546</v>
      </c>
    </row>
    <row r="167" spans="1:11" ht="30.75" customHeight="1">
      <c r="A167" s="96" t="s">
        <v>693</v>
      </c>
      <c r="B167" s="97" t="s">
        <v>692</v>
      </c>
      <c r="C167" s="98"/>
      <c r="D167" s="98"/>
      <c r="E167" s="98">
        <f>E168+E169</f>
        <v>116000</v>
      </c>
      <c r="F167" s="98">
        <f>F168+F169</f>
        <v>36389</v>
      </c>
      <c r="G167" s="98"/>
      <c r="H167" s="98">
        <f>H169</f>
        <v>0</v>
      </c>
      <c r="I167" s="175">
        <f>C167+E167+G167</f>
        <v>116000</v>
      </c>
      <c r="J167" s="175">
        <f>D167+F167+H167</f>
        <v>36389</v>
      </c>
      <c r="K167" s="98">
        <f>I167+J167</f>
        <v>152389</v>
      </c>
    </row>
    <row r="168" spans="1:11" ht="15" customHeight="1">
      <c r="A168" s="95" t="s">
        <v>694</v>
      </c>
      <c r="B168" s="94" t="s">
        <v>695</v>
      </c>
      <c r="C168" s="99"/>
      <c r="D168" s="99"/>
      <c r="E168" s="99">
        <v>115000</v>
      </c>
      <c r="F168" s="99">
        <v>36389</v>
      </c>
      <c r="G168" s="99"/>
      <c r="H168" s="99"/>
      <c r="I168" s="176">
        <f>C168+E168+G168</f>
        <v>115000</v>
      </c>
      <c r="J168" s="92">
        <f>F168</f>
        <v>36389</v>
      </c>
      <c r="K168" s="99">
        <f t="shared" si="8"/>
        <v>151389</v>
      </c>
    </row>
    <row r="169" spans="1:11" ht="15" customHeight="1">
      <c r="A169" s="95" t="s">
        <v>882</v>
      </c>
      <c r="B169" s="94" t="s">
        <v>883</v>
      </c>
      <c r="C169" s="99"/>
      <c r="D169" s="99"/>
      <c r="E169" s="99">
        <v>1000</v>
      </c>
      <c r="F169" s="99"/>
      <c r="G169" s="99"/>
      <c r="H169" s="99"/>
      <c r="I169" s="176">
        <v>1000</v>
      </c>
      <c r="J169" s="92"/>
      <c r="K169" s="99">
        <f>I169+J169</f>
        <v>1000</v>
      </c>
    </row>
    <row r="170" spans="1:12" ht="30" customHeight="1">
      <c r="A170" s="145" t="s">
        <v>822</v>
      </c>
      <c r="B170" s="96" t="s">
        <v>507</v>
      </c>
      <c r="C170" s="98"/>
      <c r="D170" s="98">
        <v>5325967</v>
      </c>
      <c r="E170" s="98">
        <f>E173+E460+E171</f>
        <v>5344717</v>
      </c>
      <c r="F170" s="98">
        <f>F173+F460+F171</f>
        <v>80958</v>
      </c>
      <c r="G170" s="98">
        <f>G173+G460+G171</f>
        <v>7792</v>
      </c>
      <c r="H170" s="98">
        <f>H173+H460+H171</f>
        <v>0</v>
      </c>
      <c r="I170" s="175">
        <f>C170+E170+G170</f>
        <v>5352509</v>
      </c>
      <c r="J170" s="175">
        <f>F170+H170</f>
        <v>80958</v>
      </c>
      <c r="K170" s="98">
        <f>I170+J170</f>
        <v>5433467</v>
      </c>
      <c r="L170" s="100"/>
    </row>
    <row r="171" spans="1:12" ht="30" customHeight="1">
      <c r="A171" s="145" t="s">
        <v>823</v>
      </c>
      <c r="B171" s="96" t="s">
        <v>824</v>
      </c>
      <c r="C171" s="98"/>
      <c r="D171" s="98"/>
      <c r="E171" s="98">
        <f>E172</f>
        <v>169672</v>
      </c>
      <c r="F171" s="98">
        <f>F172</f>
        <v>0</v>
      </c>
      <c r="G171" s="99"/>
      <c r="H171" s="99"/>
      <c r="I171" s="175">
        <f>I172</f>
        <v>169672</v>
      </c>
      <c r="J171" s="116"/>
      <c r="K171" s="98">
        <f t="shared" si="8"/>
        <v>169672</v>
      </c>
      <c r="L171" s="100"/>
    </row>
    <row r="172" spans="1:11" ht="81" customHeight="1">
      <c r="A172" s="145" t="s">
        <v>825</v>
      </c>
      <c r="B172" s="97" t="s">
        <v>826</v>
      </c>
      <c r="C172" s="98"/>
      <c r="D172" s="98"/>
      <c r="E172" s="98">
        <v>169672</v>
      </c>
      <c r="F172" s="98"/>
      <c r="G172" s="99"/>
      <c r="H172" s="99"/>
      <c r="I172" s="175">
        <f>E172</f>
        <v>169672</v>
      </c>
      <c r="J172" s="116"/>
      <c r="K172" s="188">
        <f t="shared" si="8"/>
        <v>169672</v>
      </c>
    </row>
    <row r="173" spans="1:11" s="86" customFormat="1" ht="31.5" customHeight="1">
      <c r="A173" s="96" t="s">
        <v>508</v>
      </c>
      <c r="B173" s="97" t="s">
        <v>509</v>
      </c>
      <c r="C173" s="98"/>
      <c r="D173" s="98"/>
      <c r="E173" s="98">
        <f>E174+E195+E198+E274</f>
        <v>4993232</v>
      </c>
      <c r="F173" s="98">
        <f>F174+F195+F198+F274</f>
        <v>80958</v>
      </c>
      <c r="G173" s="99"/>
      <c r="H173" s="98">
        <f>H174+H195+H198+H274</f>
        <v>0</v>
      </c>
      <c r="I173" s="175">
        <f t="shared" si="13" ref="I173:J200">E173</f>
        <v>4993232</v>
      </c>
      <c r="J173" s="175">
        <f t="shared" si="13"/>
        <v>80958</v>
      </c>
      <c r="K173" s="98">
        <f t="shared" si="14" ref="K173:K236">I173+J173</f>
        <v>5074190</v>
      </c>
    </row>
    <row r="174" spans="1:11" s="86" customFormat="1" ht="15" customHeight="1">
      <c r="A174" s="96" t="s">
        <v>510</v>
      </c>
      <c r="B174" s="96" t="s">
        <v>511</v>
      </c>
      <c r="C174" s="98"/>
      <c r="D174" s="98"/>
      <c r="E174" s="98">
        <f>E175+E180</f>
        <v>134214</v>
      </c>
      <c r="F174" s="98"/>
      <c r="G174" s="98"/>
      <c r="H174" s="98"/>
      <c r="I174" s="175">
        <f t="shared" si="13"/>
        <v>134214</v>
      </c>
      <c r="J174" s="181"/>
      <c r="K174" s="188">
        <f t="shared" si="14"/>
        <v>134214</v>
      </c>
    </row>
    <row r="175" spans="1:11" ht="15" customHeight="1">
      <c r="A175" s="96" t="s">
        <v>512</v>
      </c>
      <c r="B175" s="96" t="s">
        <v>513</v>
      </c>
      <c r="C175" s="98"/>
      <c r="D175" s="98"/>
      <c r="E175" s="98">
        <f>SUM(E176:E179)</f>
        <v>23104</v>
      </c>
      <c r="F175" s="98"/>
      <c r="G175" s="98"/>
      <c r="H175" s="98"/>
      <c r="I175" s="175">
        <f>E175</f>
        <v>23104</v>
      </c>
      <c r="J175" s="83"/>
      <c r="K175" s="188">
        <f t="shared" si="14"/>
        <v>23104</v>
      </c>
    </row>
    <row r="176" spans="1:11" ht="15" customHeight="1">
      <c r="A176" s="95"/>
      <c r="B176" s="116" t="s">
        <v>514</v>
      </c>
      <c r="C176" s="99"/>
      <c r="D176" s="99"/>
      <c r="E176" s="99">
        <v>8020</v>
      </c>
      <c r="F176" s="99"/>
      <c r="G176" s="99"/>
      <c r="H176" s="99"/>
      <c r="I176" s="176">
        <f t="shared" si="13"/>
        <v>8020</v>
      </c>
      <c r="J176" s="84"/>
      <c r="K176" s="53">
        <f t="shared" si="14"/>
        <v>8020</v>
      </c>
    </row>
    <row r="177" spans="1:11" ht="15" customHeight="1">
      <c r="A177" s="95"/>
      <c r="B177" s="116" t="s">
        <v>515</v>
      </c>
      <c r="C177" s="99"/>
      <c r="D177" s="99"/>
      <c r="E177" s="99">
        <v>9234</v>
      </c>
      <c r="F177" s="99"/>
      <c r="G177" s="99"/>
      <c r="H177" s="99"/>
      <c r="I177" s="176">
        <f t="shared" si="13"/>
        <v>9234</v>
      </c>
      <c r="J177" s="84"/>
      <c r="K177" s="53">
        <f t="shared" si="14"/>
        <v>9234</v>
      </c>
    </row>
    <row r="178" spans="1:11" ht="15" customHeight="1">
      <c r="A178" s="95"/>
      <c r="B178" s="116" t="s">
        <v>516</v>
      </c>
      <c r="C178" s="99"/>
      <c r="D178" s="99"/>
      <c r="E178" s="99">
        <v>1750</v>
      </c>
      <c r="F178" s="99"/>
      <c r="G178" s="99"/>
      <c r="H178" s="99"/>
      <c r="I178" s="176">
        <f t="shared" si="13"/>
        <v>1750</v>
      </c>
      <c r="J178" s="84"/>
      <c r="K178" s="53">
        <f t="shared" si="14"/>
        <v>1750</v>
      </c>
    </row>
    <row r="179" spans="1:11" ht="15" customHeight="1">
      <c r="A179" s="95"/>
      <c r="B179" s="116" t="s">
        <v>535</v>
      </c>
      <c r="C179" s="99"/>
      <c r="D179" s="99"/>
      <c r="E179" s="99">
        <v>4100</v>
      </c>
      <c r="F179" s="99"/>
      <c r="G179" s="99"/>
      <c r="H179" s="99"/>
      <c r="I179" s="176">
        <f t="shared" si="13"/>
        <v>4100</v>
      </c>
      <c r="J179" s="84"/>
      <c r="K179" s="53">
        <f t="shared" si="14"/>
        <v>4100</v>
      </c>
    </row>
    <row r="180" spans="1:11" ht="15" customHeight="1">
      <c r="A180" s="96" t="s">
        <v>517</v>
      </c>
      <c r="B180" s="96" t="s">
        <v>518</v>
      </c>
      <c r="C180" s="98"/>
      <c r="D180" s="98"/>
      <c r="E180" s="98">
        <f>SUM(E181:E194)</f>
        <v>111110</v>
      </c>
      <c r="F180" s="98"/>
      <c r="G180" s="98"/>
      <c r="H180" s="98"/>
      <c r="I180" s="175">
        <f t="shared" si="13"/>
        <v>111110</v>
      </c>
      <c r="J180" s="83"/>
      <c r="K180" s="188">
        <f t="shared" si="14"/>
        <v>111110</v>
      </c>
    </row>
    <row r="181" spans="1:11" ht="15" customHeight="1">
      <c r="A181" s="95"/>
      <c r="B181" s="116" t="s">
        <v>43</v>
      </c>
      <c r="C181" s="99"/>
      <c r="D181" s="99"/>
      <c r="E181" s="99">
        <v>39000</v>
      </c>
      <c r="F181" s="99"/>
      <c r="G181" s="99"/>
      <c r="H181" s="99"/>
      <c r="I181" s="176">
        <f t="shared" si="13"/>
        <v>39000</v>
      </c>
      <c r="J181" s="84"/>
      <c r="K181" s="53">
        <f t="shared" si="14"/>
        <v>39000</v>
      </c>
    </row>
    <row r="182" spans="1:11" ht="15" customHeight="1">
      <c r="A182" s="95"/>
      <c r="B182" s="116" t="s">
        <v>44</v>
      </c>
      <c r="C182" s="99"/>
      <c r="D182" s="99"/>
      <c r="E182" s="99">
        <v>22000</v>
      </c>
      <c r="F182" s="99"/>
      <c r="G182" s="99"/>
      <c r="H182" s="99"/>
      <c r="I182" s="176">
        <f t="shared" si="13"/>
        <v>22000</v>
      </c>
      <c r="J182" s="84"/>
      <c r="K182" s="53">
        <f t="shared" si="14"/>
        <v>22000</v>
      </c>
    </row>
    <row r="183" spans="1:11" ht="15" customHeight="1">
      <c r="A183" s="95"/>
      <c r="B183" s="116" t="s">
        <v>689</v>
      </c>
      <c r="C183" s="99"/>
      <c r="D183" s="99"/>
      <c r="E183" s="99">
        <v>12551</v>
      </c>
      <c r="F183" s="99"/>
      <c r="G183" s="99"/>
      <c r="H183" s="99"/>
      <c r="I183" s="176">
        <f t="shared" si="13"/>
        <v>12551</v>
      </c>
      <c r="J183" s="84"/>
      <c r="K183" s="53">
        <f t="shared" si="14"/>
        <v>12551</v>
      </c>
    </row>
    <row r="184" spans="1:11" ht="15" customHeight="1">
      <c r="A184" s="95"/>
      <c r="B184" s="116" t="s">
        <v>45</v>
      </c>
      <c r="C184" s="99"/>
      <c r="D184" s="99"/>
      <c r="E184" s="99">
        <v>2500</v>
      </c>
      <c r="F184" s="99"/>
      <c r="G184" s="99"/>
      <c r="H184" s="99"/>
      <c r="I184" s="176">
        <f t="shared" si="13"/>
        <v>2500</v>
      </c>
      <c r="J184" s="84"/>
      <c r="K184" s="53">
        <f t="shared" si="14"/>
        <v>2500</v>
      </c>
    </row>
    <row r="185" spans="1:11" ht="15" customHeight="1">
      <c r="A185" s="95"/>
      <c r="B185" s="116" t="s">
        <v>521</v>
      </c>
      <c r="C185" s="99"/>
      <c r="D185" s="99"/>
      <c r="E185" s="99">
        <v>2500</v>
      </c>
      <c r="F185" s="99"/>
      <c r="G185" s="99"/>
      <c r="H185" s="99"/>
      <c r="I185" s="176">
        <f t="shared" si="13"/>
        <v>2500</v>
      </c>
      <c r="J185" s="84"/>
      <c r="K185" s="53">
        <f t="shared" si="14"/>
        <v>2500</v>
      </c>
    </row>
    <row r="186" spans="1:11" ht="15" customHeight="1">
      <c r="A186" s="95"/>
      <c r="B186" s="116" t="s">
        <v>728</v>
      </c>
      <c r="C186" s="99"/>
      <c r="D186" s="99"/>
      <c r="E186" s="99">
        <v>6100</v>
      </c>
      <c r="F186" s="99"/>
      <c r="G186" s="99"/>
      <c r="H186" s="99"/>
      <c r="I186" s="176">
        <f t="shared" si="13"/>
        <v>6100</v>
      </c>
      <c r="J186" s="84"/>
      <c r="K186" s="53">
        <f t="shared" si="14"/>
        <v>6100</v>
      </c>
    </row>
    <row r="187" spans="1:11" ht="15" customHeight="1">
      <c r="A187" s="95"/>
      <c r="B187" s="116" t="s">
        <v>729</v>
      </c>
      <c r="C187" s="99"/>
      <c r="D187" s="99"/>
      <c r="E187" s="99">
        <v>2819</v>
      </c>
      <c r="F187" s="99"/>
      <c r="G187" s="99"/>
      <c r="H187" s="99"/>
      <c r="I187" s="176">
        <f t="shared" si="13"/>
        <v>2819</v>
      </c>
      <c r="J187" s="84"/>
      <c r="K187" s="53">
        <f t="shared" si="14"/>
        <v>2819</v>
      </c>
    </row>
    <row r="188" spans="1:11" ht="15" customHeight="1">
      <c r="A188" s="95"/>
      <c r="B188" s="116" t="s">
        <v>520</v>
      </c>
      <c r="C188" s="99"/>
      <c r="D188" s="99"/>
      <c r="E188" s="99">
        <v>7000</v>
      </c>
      <c r="F188" s="99"/>
      <c r="G188" s="99"/>
      <c r="H188" s="99"/>
      <c r="I188" s="176">
        <f t="shared" si="13"/>
        <v>7000</v>
      </c>
      <c r="J188" s="84"/>
      <c r="K188" s="53">
        <f t="shared" si="14"/>
        <v>7000</v>
      </c>
    </row>
    <row r="189" spans="1:11" ht="15" customHeight="1">
      <c r="A189" s="95"/>
      <c r="B189" s="116" t="s">
        <v>519</v>
      </c>
      <c r="C189" s="99"/>
      <c r="D189" s="99"/>
      <c r="E189" s="99">
        <v>3850</v>
      </c>
      <c r="F189" s="99"/>
      <c r="G189" s="99"/>
      <c r="H189" s="99"/>
      <c r="I189" s="176">
        <f t="shared" si="13"/>
        <v>3850</v>
      </c>
      <c r="J189" s="84"/>
      <c r="K189" s="53">
        <f t="shared" si="14"/>
        <v>3850</v>
      </c>
    </row>
    <row r="190" spans="1:11" ht="15" customHeight="1">
      <c r="A190" s="95"/>
      <c r="B190" s="116" t="s">
        <v>704</v>
      </c>
      <c r="C190" s="99"/>
      <c r="D190" s="99"/>
      <c r="E190" s="99">
        <v>4100</v>
      </c>
      <c r="F190" s="99"/>
      <c r="G190" s="99"/>
      <c r="H190" s="99"/>
      <c r="I190" s="176">
        <f t="shared" si="13"/>
        <v>4100</v>
      </c>
      <c r="J190" s="84"/>
      <c r="K190" s="53">
        <f t="shared" si="14"/>
        <v>4100</v>
      </c>
    </row>
    <row r="191" spans="1:11" ht="15" customHeight="1">
      <c r="A191" s="95"/>
      <c r="B191" s="116" t="s">
        <v>750</v>
      </c>
      <c r="C191" s="99"/>
      <c r="D191" s="99"/>
      <c r="E191" s="99">
        <v>1000</v>
      </c>
      <c r="F191" s="99"/>
      <c r="G191" s="99"/>
      <c r="H191" s="99"/>
      <c r="I191" s="176">
        <f t="shared" si="13"/>
        <v>1000</v>
      </c>
      <c r="J191" s="182"/>
      <c r="K191" s="53">
        <f t="shared" si="14"/>
        <v>1000</v>
      </c>
    </row>
    <row r="192" spans="1:11" ht="15" customHeight="1">
      <c r="A192" s="95"/>
      <c r="B192" s="116" t="s">
        <v>751</v>
      </c>
      <c r="C192" s="99"/>
      <c r="D192" s="99"/>
      <c r="E192" s="99">
        <v>4880</v>
      </c>
      <c r="F192" s="99"/>
      <c r="G192" s="99"/>
      <c r="H192" s="99"/>
      <c r="I192" s="176">
        <f t="shared" si="13"/>
        <v>4880</v>
      </c>
      <c r="J192" s="182"/>
      <c r="K192" s="53">
        <f t="shared" si="14"/>
        <v>4880</v>
      </c>
    </row>
    <row r="193" spans="1:11" ht="15" customHeight="1">
      <c r="A193" s="95"/>
      <c r="B193" s="116" t="s">
        <v>758</v>
      </c>
      <c r="C193" s="99"/>
      <c r="D193" s="99"/>
      <c r="E193" s="99">
        <v>1660</v>
      </c>
      <c r="F193" s="99"/>
      <c r="G193" s="99"/>
      <c r="H193" s="99"/>
      <c r="I193" s="176">
        <f t="shared" si="13"/>
        <v>1660</v>
      </c>
      <c r="J193" s="182"/>
      <c r="K193" s="53">
        <f t="shared" si="14"/>
        <v>1660</v>
      </c>
    </row>
    <row r="194" spans="1:11" s="86" customFormat="1" ht="15" customHeight="1">
      <c r="A194" s="95"/>
      <c r="B194" s="116" t="s">
        <v>705</v>
      </c>
      <c r="C194" s="99"/>
      <c r="D194" s="99"/>
      <c r="E194" s="99">
        <v>1150</v>
      </c>
      <c r="F194" s="99"/>
      <c r="G194" s="99"/>
      <c r="H194" s="99"/>
      <c r="I194" s="176">
        <f t="shared" si="13"/>
        <v>1150</v>
      </c>
      <c r="J194" s="84"/>
      <c r="K194" s="188">
        <f t="shared" si="14"/>
        <v>1150</v>
      </c>
    </row>
    <row r="195" spans="1:11" s="86" customFormat="1" ht="30" customHeight="1">
      <c r="A195" s="96" t="s">
        <v>522</v>
      </c>
      <c r="B195" s="97" t="s">
        <v>523</v>
      </c>
      <c r="C195" s="98"/>
      <c r="D195" s="98"/>
      <c r="E195" s="98">
        <f>E196</f>
        <v>1340</v>
      </c>
      <c r="F195" s="98"/>
      <c r="G195" s="98"/>
      <c r="H195" s="98"/>
      <c r="I195" s="175">
        <f t="shared" si="13"/>
        <v>1340</v>
      </c>
      <c r="J195" s="96"/>
      <c r="K195" s="98">
        <f t="shared" si="14"/>
        <v>1340</v>
      </c>
    </row>
    <row r="196" spans="1:11" ht="31.5" customHeight="1">
      <c r="A196" s="96" t="s">
        <v>524</v>
      </c>
      <c r="B196" s="97" t="s">
        <v>525</v>
      </c>
      <c r="C196" s="98"/>
      <c r="D196" s="98"/>
      <c r="E196" s="98">
        <f>SUM(E197:E197)</f>
        <v>1340</v>
      </c>
      <c r="F196" s="98"/>
      <c r="G196" s="98"/>
      <c r="H196" s="98"/>
      <c r="I196" s="175">
        <f t="shared" si="13"/>
        <v>1340</v>
      </c>
      <c r="J196" s="96"/>
      <c r="K196" s="98">
        <f t="shared" si="14"/>
        <v>1340</v>
      </c>
    </row>
    <row r="197" spans="1:11" s="86" customFormat="1" ht="15" customHeight="1">
      <c r="A197" s="95"/>
      <c r="B197" s="114" t="s">
        <v>15</v>
      </c>
      <c r="C197" s="99"/>
      <c r="D197" s="99"/>
      <c r="E197" s="99">
        <v>1340</v>
      </c>
      <c r="F197" s="99"/>
      <c r="G197" s="99"/>
      <c r="H197" s="99"/>
      <c r="I197" s="176">
        <f t="shared" si="13"/>
        <v>1340</v>
      </c>
      <c r="J197" s="95"/>
      <c r="K197" s="99">
        <f t="shared" si="14"/>
        <v>1340</v>
      </c>
    </row>
    <row r="198" spans="1:11" s="86" customFormat="1" ht="25.5" customHeight="1">
      <c r="A198" s="96" t="s">
        <v>526</v>
      </c>
      <c r="B198" s="96" t="s">
        <v>527</v>
      </c>
      <c r="C198" s="98"/>
      <c r="D198" s="98"/>
      <c r="E198" s="98">
        <f>E199+E246+E252+E253</f>
        <v>585827</v>
      </c>
      <c r="F198" s="98">
        <f>F199+F246+F252+F253</f>
        <v>280</v>
      </c>
      <c r="G198" s="98"/>
      <c r="H198" s="98"/>
      <c r="I198" s="175">
        <f t="shared" si="13"/>
        <v>585827</v>
      </c>
      <c r="J198" s="175">
        <f t="shared" si="13"/>
        <v>280</v>
      </c>
      <c r="K198" s="98">
        <f t="shared" si="14"/>
        <v>586107</v>
      </c>
    </row>
    <row r="199" spans="1:11" ht="28.5" customHeight="1">
      <c r="A199" s="96" t="s">
        <v>528</v>
      </c>
      <c r="B199" s="97" t="s">
        <v>691</v>
      </c>
      <c r="C199" s="98"/>
      <c r="D199" s="98"/>
      <c r="E199" s="98">
        <f>SUM(E200:E245)</f>
        <v>173284</v>
      </c>
      <c r="F199" s="98">
        <f>SUM(F200:F245)</f>
        <v>280</v>
      </c>
      <c r="G199" s="98"/>
      <c r="H199" s="98"/>
      <c r="I199" s="175">
        <f t="shared" si="13"/>
        <v>173284</v>
      </c>
      <c r="J199" s="175">
        <f t="shared" si="13"/>
        <v>280</v>
      </c>
      <c r="K199" s="98">
        <f t="shared" si="14"/>
        <v>173564</v>
      </c>
    </row>
    <row r="200" spans="1:11" ht="15" customHeight="1">
      <c r="A200" s="95"/>
      <c r="B200" s="95" t="s">
        <v>529</v>
      </c>
      <c r="C200" s="99"/>
      <c r="D200" s="99"/>
      <c r="E200" s="99">
        <f>91840+6124</f>
        <v>97964</v>
      </c>
      <c r="F200" s="99"/>
      <c r="G200" s="99"/>
      <c r="H200" s="99"/>
      <c r="I200" s="176">
        <f t="shared" si="13"/>
        <v>97964</v>
      </c>
      <c r="J200" s="95"/>
      <c r="K200" s="99">
        <f t="shared" si="14"/>
        <v>97964</v>
      </c>
    </row>
    <row r="201" spans="1:11" ht="15" customHeight="1">
      <c r="A201" s="95"/>
      <c r="B201" s="95" t="s">
        <v>831</v>
      </c>
      <c r="C201" s="99"/>
      <c r="D201" s="99"/>
      <c r="E201" s="99">
        <v>3179</v>
      </c>
      <c r="F201" s="99"/>
      <c r="G201" s="99"/>
      <c r="H201" s="99"/>
      <c r="I201" s="176"/>
      <c r="J201" s="95"/>
      <c r="K201" s="99">
        <f t="shared" si="14"/>
        <v>0</v>
      </c>
    </row>
    <row r="202" spans="1:11" ht="15" customHeight="1">
      <c r="A202" s="95"/>
      <c r="B202" s="116" t="s">
        <v>775</v>
      </c>
      <c r="C202" s="99"/>
      <c r="D202" s="99"/>
      <c r="E202" s="99">
        <v>305</v>
      </c>
      <c r="F202" s="99"/>
      <c r="G202" s="99"/>
      <c r="H202" s="99"/>
      <c r="I202" s="176">
        <f t="shared" si="15" ref="I202:I233">E202</f>
        <v>305</v>
      </c>
      <c r="J202" s="95"/>
      <c r="K202" s="99">
        <f t="shared" si="14"/>
        <v>305</v>
      </c>
    </row>
    <row r="203" spans="1:11" ht="15" customHeight="1">
      <c r="A203" s="95"/>
      <c r="B203" s="116" t="s">
        <v>5</v>
      </c>
      <c r="C203" s="99"/>
      <c r="D203" s="99"/>
      <c r="E203" s="99">
        <v>430</v>
      </c>
      <c r="F203" s="99"/>
      <c r="G203" s="99"/>
      <c r="H203" s="99"/>
      <c r="I203" s="176">
        <f t="shared" si="15"/>
        <v>430</v>
      </c>
      <c r="J203" s="95"/>
      <c r="K203" s="99">
        <f t="shared" si="14"/>
        <v>430</v>
      </c>
    </row>
    <row r="204" spans="1:11" ht="21.75" customHeight="1">
      <c r="A204" s="95"/>
      <c r="B204" s="117" t="s">
        <v>93</v>
      </c>
      <c r="C204" s="99"/>
      <c r="D204" s="99"/>
      <c r="E204" s="92">
        <v>430</v>
      </c>
      <c r="F204" s="92"/>
      <c r="G204" s="99"/>
      <c r="H204" s="99"/>
      <c r="I204" s="176">
        <f t="shared" si="15"/>
        <v>430</v>
      </c>
      <c r="J204" s="84"/>
      <c r="K204" s="53">
        <f t="shared" si="14"/>
        <v>430</v>
      </c>
    </row>
    <row r="205" spans="1:11" ht="20.25" customHeight="1">
      <c r="A205" s="95"/>
      <c r="B205" s="116" t="s">
        <v>20</v>
      </c>
      <c r="C205" s="99"/>
      <c r="D205" s="99"/>
      <c r="E205" s="92">
        <v>510</v>
      </c>
      <c r="F205" s="92"/>
      <c r="G205" s="99"/>
      <c r="H205" s="99"/>
      <c r="I205" s="176">
        <f t="shared" si="15"/>
        <v>510</v>
      </c>
      <c r="J205" s="84"/>
      <c r="K205" s="53">
        <f t="shared" si="14"/>
        <v>510</v>
      </c>
    </row>
    <row r="206" spans="1:11" ht="20.25" customHeight="1">
      <c r="A206" s="95"/>
      <c r="B206" s="114" t="s">
        <v>23</v>
      </c>
      <c r="C206" s="99"/>
      <c r="D206" s="99"/>
      <c r="E206" s="99">
        <v>300</v>
      </c>
      <c r="F206" s="99"/>
      <c r="G206" s="99"/>
      <c r="H206" s="99"/>
      <c r="I206" s="176">
        <f t="shared" si="15"/>
        <v>300</v>
      </c>
      <c r="J206" s="84"/>
      <c r="K206" s="53">
        <f t="shared" si="14"/>
        <v>300</v>
      </c>
    </row>
    <row r="207" spans="1:11" ht="21.75" customHeight="1">
      <c r="A207" s="95"/>
      <c r="B207" s="114" t="s">
        <v>333</v>
      </c>
      <c r="C207" s="99"/>
      <c r="D207" s="99"/>
      <c r="E207" s="99">
        <v>2000</v>
      </c>
      <c r="F207" s="99"/>
      <c r="G207" s="99"/>
      <c r="H207" s="99"/>
      <c r="I207" s="176">
        <f t="shared" si="15"/>
        <v>2000</v>
      </c>
      <c r="J207" s="84"/>
      <c r="K207" s="53">
        <f t="shared" si="14"/>
        <v>2000</v>
      </c>
    </row>
    <row r="208" spans="1:11" ht="21" customHeight="1">
      <c r="A208" s="95"/>
      <c r="B208" s="114" t="s">
        <v>149</v>
      </c>
      <c r="C208" s="99"/>
      <c r="D208" s="99"/>
      <c r="E208" s="99">
        <v>516</v>
      </c>
      <c r="F208" s="99"/>
      <c r="G208" s="99"/>
      <c r="H208" s="99"/>
      <c r="I208" s="176">
        <f t="shared" si="15"/>
        <v>516</v>
      </c>
      <c r="J208" s="84"/>
      <c r="K208" s="53">
        <f t="shared" si="14"/>
        <v>516</v>
      </c>
    </row>
    <row r="209" spans="1:11" ht="21" customHeight="1">
      <c r="A209" s="95"/>
      <c r="B209" s="114" t="s">
        <v>125</v>
      </c>
      <c r="C209" s="99"/>
      <c r="D209" s="99"/>
      <c r="E209" s="99">
        <v>700</v>
      </c>
      <c r="F209" s="99"/>
      <c r="G209" s="99"/>
      <c r="H209" s="99"/>
      <c r="I209" s="176">
        <f t="shared" si="15"/>
        <v>700</v>
      </c>
      <c r="J209" s="84"/>
      <c r="K209" s="53">
        <f t="shared" si="14"/>
        <v>700</v>
      </c>
    </row>
    <row r="210" spans="1:11" ht="20.25" customHeight="1">
      <c r="A210" s="95"/>
      <c r="B210" s="114" t="s">
        <v>774</v>
      </c>
      <c r="C210" s="99"/>
      <c r="D210" s="99"/>
      <c r="E210" s="99">
        <v>2585</v>
      </c>
      <c r="F210" s="99"/>
      <c r="G210" s="99"/>
      <c r="H210" s="99"/>
      <c r="I210" s="176">
        <f t="shared" si="15"/>
        <v>2585</v>
      </c>
      <c r="J210" s="84"/>
      <c r="K210" s="53">
        <f t="shared" si="14"/>
        <v>2585</v>
      </c>
    </row>
    <row r="211" spans="1:11" ht="18.75" customHeight="1">
      <c r="A211" s="95"/>
      <c r="B211" s="114" t="s">
        <v>780</v>
      </c>
      <c r="C211" s="99"/>
      <c r="D211" s="99"/>
      <c r="E211" s="99">
        <v>120</v>
      </c>
      <c r="F211" s="99"/>
      <c r="G211" s="99"/>
      <c r="H211" s="99"/>
      <c r="I211" s="176">
        <f t="shared" si="15"/>
        <v>120</v>
      </c>
      <c r="J211" s="95"/>
      <c r="K211" s="53">
        <f t="shared" si="14"/>
        <v>120</v>
      </c>
    </row>
    <row r="212" spans="1:11" ht="15" customHeight="1">
      <c r="A212" s="95"/>
      <c r="B212" s="114" t="s">
        <v>773</v>
      </c>
      <c r="C212" s="99"/>
      <c r="D212" s="99"/>
      <c r="E212" s="99">
        <v>2178</v>
      </c>
      <c r="F212" s="99"/>
      <c r="G212" s="99"/>
      <c r="H212" s="99"/>
      <c r="I212" s="176">
        <f t="shared" si="15"/>
        <v>2178</v>
      </c>
      <c r="J212" s="84"/>
      <c r="K212" s="53">
        <f t="shared" si="14"/>
        <v>2178</v>
      </c>
    </row>
    <row r="213" spans="1:11" ht="15" customHeight="1">
      <c r="A213" s="95"/>
      <c r="B213" s="114" t="s">
        <v>530</v>
      </c>
      <c r="C213" s="99"/>
      <c r="D213" s="99"/>
      <c r="E213" s="99">
        <v>4350</v>
      </c>
      <c r="F213" s="99"/>
      <c r="G213" s="99"/>
      <c r="H213" s="99"/>
      <c r="I213" s="176">
        <f t="shared" si="15"/>
        <v>4350</v>
      </c>
      <c r="J213" s="84"/>
      <c r="K213" s="53">
        <f t="shared" si="14"/>
        <v>4350</v>
      </c>
    </row>
    <row r="214" spans="1:11" ht="15" customHeight="1">
      <c r="A214" s="95"/>
      <c r="B214" s="114" t="s">
        <v>82</v>
      </c>
      <c r="C214" s="99"/>
      <c r="D214" s="99"/>
      <c r="E214" s="99">
        <v>3340</v>
      </c>
      <c r="F214" s="99"/>
      <c r="G214" s="99"/>
      <c r="H214" s="99"/>
      <c r="I214" s="176">
        <f t="shared" si="15"/>
        <v>3340</v>
      </c>
      <c r="J214" s="84"/>
      <c r="K214" s="53">
        <f t="shared" si="14"/>
        <v>3340</v>
      </c>
    </row>
    <row r="215" spans="1:11" ht="15" customHeight="1">
      <c r="A215" s="95"/>
      <c r="B215" s="114" t="s">
        <v>80</v>
      </c>
      <c r="C215" s="99"/>
      <c r="D215" s="99"/>
      <c r="E215" s="99">
        <v>7829</v>
      </c>
      <c r="F215" s="99"/>
      <c r="G215" s="99"/>
      <c r="H215" s="99"/>
      <c r="I215" s="176">
        <f t="shared" si="15"/>
        <v>7829</v>
      </c>
      <c r="J215" s="84"/>
      <c r="K215" s="53">
        <f t="shared" si="14"/>
        <v>7829</v>
      </c>
    </row>
    <row r="216" spans="1:11" ht="15" customHeight="1">
      <c r="A216" s="95"/>
      <c r="B216" s="114" t="s">
        <v>154</v>
      </c>
      <c r="C216" s="99"/>
      <c r="D216" s="99"/>
      <c r="E216" s="99">
        <v>130</v>
      </c>
      <c r="F216" s="99"/>
      <c r="G216" s="99"/>
      <c r="H216" s="99"/>
      <c r="I216" s="176">
        <f t="shared" si="15"/>
        <v>130</v>
      </c>
      <c r="J216" s="84"/>
      <c r="K216" s="53">
        <f t="shared" si="14"/>
        <v>130</v>
      </c>
    </row>
    <row r="217" spans="1:11" ht="15" customHeight="1">
      <c r="A217" s="95"/>
      <c r="B217" s="114" t="s">
        <v>200</v>
      </c>
      <c r="C217" s="99"/>
      <c r="D217" s="99"/>
      <c r="E217" s="99">
        <f>50+117</f>
        <v>167</v>
      </c>
      <c r="F217" s="99"/>
      <c r="G217" s="99"/>
      <c r="H217" s="99"/>
      <c r="I217" s="176">
        <f t="shared" si="15"/>
        <v>167</v>
      </c>
      <c r="J217" s="53">
        <f>F217</f>
        <v>0</v>
      </c>
      <c r="K217" s="53">
        <f t="shared" si="14"/>
        <v>167</v>
      </c>
    </row>
    <row r="218" spans="1:11" ht="15" customHeight="1">
      <c r="A218" s="95"/>
      <c r="B218" s="114" t="s">
        <v>304</v>
      </c>
      <c r="C218" s="99"/>
      <c r="D218" s="99"/>
      <c r="E218" s="99">
        <v>50</v>
      </c>
      <c r="F218" s="99"/>
      <c r="G218" s="99"/>
      <c r="H218" s="99"/>
      <c r="I218" s="176">
        <f t="shared" si="15"/>
        <v>50</v>
      </c>
      <c r="J218" s="84"/>
      <c r="K218" s="53">
        <f t="shared" si="14"/>
        <v>50</v>
      </c>
    </row>
    <row r="219" spans="1:11" ht="15" customHeight="1">
      <c r="A219" s="95"/>
      <c r="B219" s="114" t="s">
        <v>39</v>
      </c>
      <c r="C219" s="99"/>
      <c r="D219" s="99"/>
      <c r="E219" s="99">
        <v>82</v>
      </c>
      <c r="F219" s="99"/>
      <c r="G219" s="99"/>
      <c r="H219" s="99"/>
      <c r="I219" s="176">
        <f t="shared" si="15"/>
        <v>82</v>
      </c>
      <c r="J219" s="84"/>
      <c r="K219" s="53">
        <f t="shared" si="14"/>
        <v>82</v>
      </c>
    </row>
    <row r="220" spans="1:11" ht="15" customHeight="1">
      <c r="A220" s="95"/>
      <c r="B220" s="114" t="s">
        <v>40</v>
      </c>
      <c r="C220" s="99"/>
      <c r="D220" s="99"/>
      <c r="E220" s="99">
        <v>350</v>
      </c>
      <c r="F220" s="99"/>
      <c r="G220" s="99"/>
      <c r="H220" s="99"/>
      <c r="I220" s="176">
        <f t="shared" si="15"/>
        <v>350</v>
      </c>
      <c r="J220" s="84"/>
      <c r="K220" s="53">
        <f t="shared" si="14"/>
        <v>350</v>
      </c>
    </row>
    <row r="221" spans="1:11" ht="15" customHeight="1">
      <c r="A221" s="95"/>
      <c r="B221" s="114" t="s">
        <v>471</v>
      </c>
      <c r="C221" s="99"/>
      <c r="D221" s="99"/>
      <c r="E221" s="99">
        <v>100</v>
      </c>
      <c r="F221" s="99">
        <v>280</v>
      </c>
      <c r="G221" s="99"/>
      <c r="H221" s="99"/>
      <c r="I221" s="176">
        <f t="shared" si="15"/>
        <v>100</v>
      </c>
      <c r="J221" s="53">
        <f>F221</f>
        <v>280</v>
      </c>
      <c r="K221" s="53">
        <f t="shared" si="14"/>
        <v>380</v>
      </c>
    </row>
    <row r="222" spans="1:11" ht="15" customHeight="1">
      <c r="A222" s="95"/>
      <c r="B222" s="116" t="s">
        <v>199</v>
      </c>
      <c r="C222" s="99"/>
      <c r="D222" s="99"/>
      <c r="E222" s="99">
        <v>25</v>
      </c>
      <c r="F222" s="99"/>
      <c r="G222" s="99"/>
      <c r="H222" s="99"/>
      <c r="I222" s="176">
        <f t="shared" si="15"/>
        <v>25</v>
      </c>
      <c r="J222" s="84"/>
      <c r="K222" s="53">
        <f t="shared" si="14"/>
        <v>25</v>
      </c>
    </row>
    <row r="223" spans="1:11" ht="15" customHeight="1">
      <c r="A223" s="95"/>
      <c r="B223" s="116" t="s">
        <v>158</v>
      </c>
      <c r="C223" s="99"/>
      <c r="D223" s="99"/>
      <c r="E223" s="99">
        <v>100</v>
      </c>
      <c r="F223" s="99"/>
      <c r="G223" s="99"/>
      <c r="H223" s="99"/>
      <c r="I223" s="176">
        <f t="shared" si="15"/>
        <v>100</v>
      </c>
      <c r="J223" s="84"/>
      <c r="K223" s="53">
        <f t="shared" si="14"/>
        <v>100</v>
      </c>
    </row>
    <row r="224" spans="1:11" ht="15" customHeight="1">
      <c r="A224" s="95"/>
      <c r="B224" s="114" t="s">
        <v>205</v>
      </c>
      <c r="C224" s="99"/>
      <c r="D224" s="99"/>
      <c r="E224" s="99">
        <v>50</v>
      </c>
      <c r="F224" s="99"/>
      <c r="G224" s="99"/>
      <c r="H224" s="99"/>
      <c r="I224" s="176">
        <f t="shared" si="15"/>
        <v>50</v>
      </c>
      <c r="J224" s="84"/>
      <c r="K224" s="53">
        <f t="shared" si="14"/>
        <v>50</v>
      </c>
    </row>
    <row r="225" spans="1:11" ht="15" customHeight="1">
      <c r="A225" s="95"/>
      <c r="B225" s="114" t="s">
        <v>197</v>
      </c>
      <c r="C225" s="99"/>
      <c r="D225" s="99"/>
      <c r="E225" s="99">
        <v>50</v>
      </c>
      <c r="F225" s="99"/>
      <c r="G225" s="99"/>
      <c r="H225" s="99"/>
      <c r="I225" s="176">
        <f t="shared" si="15"/>
        <v>50</v>
      </c>
      <c r="J225" s="84"/>
      <c r="K225" s="53">
        <f t="shared" si="14"/>
        <v>50</v>
      </c>
    </row>
    <row r="226" spans="1:11" ht="15" customHeight="1">
      <c r="A226" s="95"/>
      <c r="B226" s="114" t="s">
        <v>216</v>
      </c>
      <c r="C226" s="99"/>
      <c r="D226" s="99"/>
      <c r="E226" s="99">
        <v>157</v>
      </c>
      <c r="F226" s="99"/>
      <c r="G226" s="99"/>
      <c r="H226" s="99"/>
      <c r="I226" s="176">
        <f t="shared" si="15"/>
        <v>157</v>
      </c>
      <c r="J226" s="84"/>
      <c r="K226" s="53">
        <f t="shared" si="14"/>
        <v>157</v>
      </c>
    </row>
    <row r="227" spans="1:11" ht="15" customHeight="1">
      <c r="A227" s="95"/>
      <c r="B227" s="114" t="s">
        <v>476</v>
      </c>
      <c r="C227" s="99"/>
      <c r="D227" s="99"/>
      <c r="E227" s="99">
        <v>160</v>
      </c>
      <c r="F227" s="99"/>
      <c r="G227" s="99"/>
      <c r="H227" s="99"/>
      <c r="I227" s="176">
        <f t="shared" si="15"/>
        <v>160</v>
      </c>
      <c r="J227" s="84"/>
      <c r="K227" s="53">
        <f t="shared" si="14"/>
        <v>160</v>
      </c>
    </row>
    <row r="228" spans="1:11" ht="15" customHeight="1">
      <c r="A228" s="95"/>
      <c r="B228" s="114" t="s">
        <v>531</v>
      </c>
      <c r="C228" s="99"/>
      <c r="D228" s="99"/>
      <c r="E228" s="99">
        <v>100</v>
      </c>
      <c r="F228" s="99"/>
      <c r="G228" s="99"/>
      <c r="H228" s="99"/>
      <c r="I228" s="176">
        <f t="shared" si="15"/>
        <v>100</v>
      </c>
      <c r="J228" s="84"/>
      <c r="K228" s="53">
        <f t="shared" si="14"/>
        <v>100</v>
      </c>
    </row>
    <row r="229" spans="1:11" ht="15" customHeight="1">
      <c r="A229" s="95"/>
      <c r="B229" s="114" t="s">
        <v>156</v>
      </c>
      <c r="C229" s="99"/>
      <c r="D229" s="99"/>
      <c r="E229" s="99">
        <v>400</v>
      </c>
      <c r="F229" s="99"/>
      <c r="G229" s="99"/>
      <c r="H229" s="99"/>
      <c r="I229" s="176">
        <f t="shared" si="15"/>
        <v>400</v>
      </c>
      <c r="J229" s="84"/>
      <c r="K229" s="53">
        <f t="shared" si="14"/>
        <v>400</v>
      </c>
    </row>
    <row r="230" spans="1:11" ht="15" customHeight="1">
      <c r="A230" s="95"/>
      <c r="B230" s="114" t="s">
        <v>155</v>
      </c>
      <c r="C230" s="99"/>
      <c r="D230" s="99"/>
      <c r="E230" s="99">
        <v>200</v>
      </c>
      <c r="F230" s="99"/>
      <c r="G230" s="99"/>
      <c r="H230" s="99"/>
      <c r="I230" s="176">
        <f t="shared" si="15"/>
        <v>200</v>
      </c>
      <c r="J230" s="84"/>
      <c r="K230" s="53">
        <f t="shared" si="14"/>
        <v>200</v>
      </c>
    </row>
    <row r="231" spans="1:11" ht="15" customHeight="1">
      <c r="A231" s="95"/>
      <c r="B231" s="114" t="s">
        <v>139</v>
      </c>
      <c r="C231" s="99"/>
      <c r="D231" s="99"/>
      <c r="E231" s="99">
        <v>250</v>
      </c>
      <c r="F231" s="99"/>
      <c r="G231" s="99"/>
      <c r="H231" s="99"/>
      <c r="I231" s="176">
        <f t="shared" si="15"/>
        <v>250</v>
      </c>
      <c r="J231" s="84"/>
      <c r="K231" s="53">
        <f t="shared" si="14"/>
        <v>250</v>
      </c>
    </row>
    <row r="232" spans="1:11" ht="18.75" customHeight="1">
      <c r="A232" s="95"/>
      <c r="B232" s="114" t="s">
        <v>159</v>
      </c>
      <c r="C232" s="99"/>
      <c r="D232" s="99"/>
      <c r="E232" s="99">
        <v>200</v>
      </c>
      <c r="F232" s="99"/>
      <c r="G232" s="99"/>
      <c r="H232" s="99"/>
      <c r="I232" s="176">
        <f t="shared" si="15"/>
        <v>200</v>
      </c>
      <c r="J232" s="84"/>
      <c r="K232" s="53">
        <f t="shared" si="14"/>
        <v>200</v>
      </c>
    </row>
    <row r="233" spans="1:11" ht="31.5" customHeight="1">
      <c r="A233" s="95"/>
      <c r="B233" s="114" t="s">
        <v>779</v>
      </c>
      <c r="C233" s="99"/>
      <c r="D233" s="99"/>
      <c r="E233" s="99">
        <v>9000</v>
      </c>
      <c r="F233" s="99"/>
      <c r="G233" s="99"/>
      <c r="H233" s="99"/>
      <c r="I233" s="176">
        <f t="shared" si="15"/>
        <v>9000</v>
      </c>
      <c r="J233" s="84"/>
      <c r="K233" s="53">
        <f t="shared" si="14"/>
        <v>9000</v>
      </c>
    </row>
    <row r="234" spans="1:11" ht="31.5" customHeight="1">
      <c r="A234" s="95"/>
      <c r="B234" s="114" t="s">
        <v>706</v>
      </c>
      <c r="C234" s="99"/>
      <c r="D234" s="99"/>
      <c r="E234" s="99">
        <v>2500</v>
      </c>
      <c r="F234" s="99"/>
      <c r="G234" s="99"/>
      <c r="H234" s="99"/>
      <c r="I234" s="176">
        <f t="shared" si="16" ref="I234:I265">E234</f>
        <v>2500</v>
      </c>
      <c r="J234" s="84"/>
      <c r="K234" s="53">
        <f t="shared" si="14"/>
        <v>2500</v>
      </c>
    </row>
    <row r="235" spans="1:11" ht="15" customHeight="1">
      <c r="A235" s="95"/>
      <c r="B235" s="114" t="s">
        <v>48</v>
      </c>
      <c r="C235" s="99"/>
      <c r="D235" s="99"/>
      <c r="E235" s="99">
        <v>15072</v>
      </c>
      <c r="F235" s="99"/>
      <c r="G235" s="99"/>
      <c r="H235" s="99"/>
      <c r="I235" s="176">
        <f t="shared" si="16"/>
        <v>15072</v>
      </c>
      <c r="J235" s="84"/>
      <c r="K235" s="53">
        <f t="shared" si="14"/>
        <v>15072</v>
      </c>
    </row>
    <row r="236" spans="1:11" ht="15" customHeight="1">
      <c r="A236" s="95"/>
      <c r="B236" s="114" t="s">
        <v>737</v>
      </c>
      <c r="C236" s="99"/>
      <c r="D236" s="99"/>
      <c r="E236" s="99">
        <v>1400</v>
      </c>
      <c r="F236" s="99"/>
      <c r="G236" s="99"/>
      <c r="H236" s="99"/>
      <c r="I236" s="176">
        <f t="shared" si="16"/>
        <v>1400</v>
      </c>
      <c r="J236" s="84"/>
      <c r="K236" s="53">
        <f t="shared" si="14"/>
        <v>1400</v>
      </c>
    </row>
    <row r="237" spans="1:11" ht="15" customHeight="1">
      <c r="A237" s="95"/>
      <c r="B237" s="114" t="s">
        <v>782</v>
      </c>
      <c r="C237" s="99"/>
      <c r="D237" s="99"/>
      <c r="E237" s="99">
        <v>1332</v>
      </c>
      <c r="F237" s="99"/>
      <c r="G237" s="99"/>
      <c r="H237" s="99"/>
      <c r="I237" s="176">
        <f t="shared" si="16"/>
        <v>1332</v>
      </c>
      <c r="J237" s="84"/>
      <c r="K237" s="53">
        <f t="shared" si="17" ref="K237:K300">I237+J237</f>
        <v>1332</v>
      </c>
    </row>
    <row r="238" spans="1:11" ht="15" customHeight="1">
      <c r="A238" s="95"/>
      <c r="B238" s="114" t="s">
        <v>173</v>
      </c>
      <c r="C238" s="99"/>
      <c r="D238" s="99"/>
      <c r="E238" s="92">
        <v>500</v>
      </c>
      <c r="F238" s="92"/>
      <c r="G238" s="99"/>
      <c r="H238" s="99"/>
      <c r="I238" s="176">
        <f t="shared" si="16"/>
        <v>500</v>
      </c>
      <c r="J238" s="84"/>
      <c r="K238" s="53">
        <f t="shared" si="17"/>
        <v>500</v>
      </c>
    </row>
    <row r="239" spans="1:11" ht="15" customHeight="1">
      <c r="A239" s="95"/>
      <c r="B239" s="114" t="s">
        <v>163</v>
      </c>
      <c r="C239" s="99"/>
      <c r="D239" s="99"/>
      <c r="E239" s="99">
        <v>150</v>
      </c>
      <c r="F239" s="99"/>
      <c r="G239" s="99"/>
      <c r="H239" s="99"/>
      <c r="I239" s="176">
        <f t="shared" si="16"/>
        <v>150</v>
      </c>
      <c r="J239" s="84"/>
      <c r="K239" s="53">
        <f t="shared" si="17"/>
        <v>150</v>
      </c>
    </row>
    <row r="240" spans="1:11" ht="15" customHeight="1">
      <c r="A240" s="95"/>
      <c r="B240" s="114" t="s">
        <v>783</v>
      </c>
      <c r="C240" s="99"/>
      <c r="D240" s="99"/>
      <c r="E240" s="99">
        <v>2201</v>
      </c>
      <c r="F240" s="99"/>
      <c r="G240" s="99"/>
      <c r="H240" s="99"/>
      <c r="I240" s="176">
        <f t="shared" si="16"/>
        <v>2201</v>
      </c>
      <c r="J240" s="84"/>
      <c r="K240" s="53">
        <f t="shared" si="17"/>
        <v>2201</v>
      </c>
    </row>
    <row r="241" spans="1:11" ht="15" customHeight="1">
      <c r="A241" s="95"/>
      <c r="B241" s="114" t="s">
        <v>175</v>
      </c>
      <c r="C241" s="99"/>
      <c r="D241" s="99"/>
      <c r="E241" s="99">
        <f>1000+2929</f>
        <v>3929</v>
      </c>
      <c r="F241" s="99"/>
      <c r="G241" s="99"/>
      <c r="H241" s="99"/>
      <c r="I241" s="176">
        <f t="shared" si="16"/>
        <v>3929</v>
      </c>
      <c r="J241" s="84"/>
      <c r="K241" s="53">
        <f t="shared" si="17"/>
        <v>3929</v>
      </c>
    </row>
    <row r="242" spans="1:11" ht="15" customHeight="1">
      <c r="A242" s="95"/>
      <c r="B242" s="114" t="s">
        <v>321</v>
      </c>
      <c r="C242" s="99"/>
      <c r="D242" s="99"/>
      <c r="E242" s="99">
        <v>552</v>
      </c>
      <c r="F242" s="99"/>
      <c r="G242" s="99"/>
      <c r="H242" s="99"/>
      <c r="I242" s="176">
        <f t="shared" si="16"/>
        <v>552</v>
      </c>
      <c r="J242" s="84"/>
      <c r="K242" s="53">
        <f t="shared" si="17"/>
        <v>552</v>
      </c>
    </row>
    <row r="243" spans="1:11" ht="17.25" customHeight="1">
      <c r="A243" s="95"/>
      <c r="B243" s="114" t="s">
        <v>781</v>
      </c>
      <c r="C243" s="99"/>
      <c r="D243" s="99"/>
      <c r="E243" s="99">
        <v>2384</v>
      </c>
      <c r="F243" s="99"/>
      <c r="G243" s="99"/>
      <c r="H243" s="99"/>
      <c r="I243" s="176">
        <f t="shared" si="16"/>
        <v>2384</v>
      </c>
      <c r="J243" s="99">
        <f>F243</f>
        <v>0</v>
      </c>
      <c r="K243" s="99">
        <f t="shared" si="17"/>
        <v>2384</v>
      </c>
    </row>
    <row r="244" spans="1:11" ht="15" customHeight="1">
      <c r="A244" s="95"/>
      <c r="B244" s="114" t="s">
        <v>185</v>
      </c>
      <c r="C244" s="99"/>
      <c r="D244" s="99"/>
      <c r="E244" s="99">
        <v>2257</v>
      </c>
      <c r="F244" s="99"/>
      <c r="G244" s="99"/>
      <c r="H244" s="99"/>
      <c r="I244" s="176">
        <f t="shared" si="16"/>
        <v>2257</v>
      </c>
      <c r="J244" s="95"/>
      <c r="K244" s="99">
        <f t="shared" si="17"/>
        <v>2257</v>
      </c>
    </row>
    <row r="245" spans="1:11" ht="15" customHeight="1">
      <c r="A245" s="95"/>
      <c r="B245" s="114" t="s">
        <v>769</v>
      </c>
      <c r="C245" s="99"/>
      <c r="D245" s="99"/>
      <c r="E245" s="99">
        <v>2700</v>
      </c>
      <c r="F245" s="99"/>
      <c r="G245" s="99"/>
      <c r="H245" s="99"/>
      <c r="I245" s="176">
        <f t="shared" si="16"/>
        <v>2700</v>
      </c>
      <c r="J245" s="95"/>
      <c r="K245" s="99">
        <f t="shared" si="17"/>
        <v>2700</v>
      </c>
    </row>
    <row r="246" spans="1:11" ht="15" customHeight="1">
      <c r="A246" s="96" t="s">
        <v>532</v>
      </c>
      <c r="B246" s="96" t="s">
        <v>533</v>
      </c>
      <c r="C246" s="98"/>
      <c r="D246" s="98"/>
      <c r="E246" s="98">
        <f>SUM(E247:E251)</f>
        <v>2526</v>
      </c>
      <c r="F246" s="98"/>
      <c r="G246" s="98"/>
      <c r="H246" s="98"/>
      <c r="I246" s="175">
        <f t="shared" si="16"/>
        <v>2526</v>
      </c>
      <c r="J246" s="96"/>
      <c r="K246" s="98">
        <f t="shared" si="17"/>
        <v>2526</v>
      </c>
    </row>
    <row r="247" spans="1:11" s="86" customFormat="1" ht="15" customHeight="1">
      <c r="A247" s="95"/>
      <c r="B247" s="116" t="s">
        <v>515</v>
      </c>
      <c r="C247" s="99"/>
      <c r="D247" s="99"/>
      <c r="E247" s="99">
        <v>800</v>
      </c>
      <c r="F247" s="99"/>
      <c r="G247" s="99"/>
      <c r="H247" s="99"/>
      <c r="I247" s="176">
        <f t="shared" si="16"/>
        <v>800</v>
      </c>
      <c r="J247" s="95"/>
      <c r="K247" s="99">
        <f t="shared" si="17"/>
        <v>800</v>
      </c>
    </row>
    <row r="248" spans="1:11" s="86" customFormat="1" ht="15" customHeight="1">
      <c r="A248" s="95"/>
      <c r="B248" s="116" t="s">
        <v>784</v>
      </c>
      <c r="C248" s="99"/>
      <c r="D248" s="99"/>
      <c r="E248" s="99">
        <v>25</v>
      </c>
      <c r="F248" s="99"/>
      <c r="G248" s="99"/>
      <c r="H248" s="99"/>
      <c r="I248" s="176">
        <f t="shared" si="16"/>
        <v>25</v>
      </c>
      <c r="J248" s="95"/>
      <c r="K248" s="99">
        <f t="shared" si="17"/>
        <v>25</v>
      </c>
    </row>
    <row r="249" spans="1:11" s="87" customFormat="1" ht="29.25" customHeight="1">
      <c r="A249" s="95"/>
      <c r="B249" s="94" t="s">
        <v>832</v>
      </c>
      <c r="C249" s="99"/>
      <c r="D249" s="99"/>
      <c r="E249" s="99">
        <v>1050</v>
      </c>
      <c r="F249" s="99"/>
      <c r="G249" s="99"/>
      <c r="H249" s="99"/>
      <c r="I249" s="176">
        <f t="shared" si="16"/>
        <v>1050</v>
      </c>
      <c r="J249" s="95"/>
      <c r="K249" s="99">
        <f t="shared" si="17"/>
        <v>1050</v>
      </c>
    </row>
    <row r="250" spans="1:11" ht="30.75" customHeight="1">
      <c r="A250" s="95"/>
      <c r="B250" s="94" t="s">
        <v>785</v>
      </c>
      <c r="C250" s="99"/>
      <c r="D250" s="99"/>
      <c r="E250" s="99">
        <v>255</v>
      </c>
      <c r="F250" s="99"/>
      <c r="G250" s="99"/>
      <c r="H250" s="99"/>
      <c r="I250" s="176">
        <f t="shared" si="16"/>
        <v>255</v>
      </c>
      <c r="J250" s="95"/>
      <c r="K250" s="99">
        <f t="shared" si="17"/>
        <v>255</v>
      </c>
    </row>
    <row r="251" spans="1:11" ht="15" customHeight="1">
      <c r="A251" s="95"/>
      <c r="B251" s="95" t="s">
        <v>786</v>
      </c>
      <c r="C251" s="99"/>
      <c r="D251" s="99"/>
      <c r="E251" s="99">
        <v>396</v>
      </c>
      <c r="F251" s="99"/>
      <c r="G251" s="99"/>
      <c r="H251" s="99"/>
      <c r="I251" s="176">
        <f t="shared" si="16"/>
        <v>396</v>
      </c>
      <c r="J251" s="95"/>
      <c r="K251" s="99">
        <f t="shared" si="17"/>
        <v>396</v>
      </c>
    </row>
    <row r="252" spans="1:11" ht="15" customHeight="1">
      <c r="A252" s="96" t="s">
        <v>536</v>
      </c>
      <c r="B252" s="96" t="s">
        <v>537</v>
      </c>
      <c r="C252" s="98"/>
      <c r="D252" s="98"/>
      <c r="E252" s="98">
        <v>350000</v>
      </c>
      <c r="F252" s="98"/>
      <c r="G252" s="98"/>
      <c r="H252" s="98"/>
      <c r="I252" s="175">
        <f t="shared" si="16"/>
        <v>350000</v>
      </c>
      <c r="J252" s="96"/>
      <c r="K252" s="98">
        <f t="shared" si="17"/>
        <v>350000</v>
      </c>
    </row>
    <row r="253" spans="1:11" ht="15" customHeight="1">
      <c r="A253" s="96" t="s">
        <v>538</v>
      </c>
      <c r="B253" s="96" t="s">
        <v>539</v>
      </c>
      <c r="C253" s="98"/>
      <c r="D253" s="98"/>
      <c r="E253" s="98">
        <f>SUM(E254:E273)</f>
        <v>60017</v>
      </c>
      <c r="F253" s="98"/>
      <c r="G253" s="98"/>
      <c r="H253" s="98"/>
      <c r="I253" s="175">
        <f t="shared" si="16"/>
        <v>60017</v>
      </c>
      <c r="J253" s="96"/>
      <c r="K253" s="98">
        <f t="shared" si="17"/>
        <v>60017</v>
      </c>
    </row>
    <row r="254" spans="1:11" ht="15" customHeight="1">
      <c r="A254" s="95"/>
      <c r="B254" s="94" t="s">
        <v>560</v>
      </c>
      <c r="C254" s="99"/>
      <c r="D254" s="99"/>
      <c r="E254" s="99">
        <v>17000</v>
      </c>
      <c r="F254" s="99"/>
      <c r="G254" s="99"/>
      <c r="H254" s="99"/>
      <c r="I254" s="176">
        <f t="shared" si="16"/>
        <v>17000</v>
      </c>
      <c r="J254" s="182"/>
      <c r="K254" s="99">
        <f t="shared" si="17"/>
        <v>17000</v>
      </c>
    </row>
    <row r="255" spans="1:11" ht="15" customHeight="1">
      <c r="A255" s="95"/>
      <c r="B255" s="95" t="s">
        <v>769</v>
      </c>
      <c r="C255" s="99"/>
      <c r="D255" s="99"/>
      <c r="E255" s="99">
        <v>11923</v>
      </c>
      <c r="F255" s="99"/>
      <c r="G255" s="99"/>
      <c r="H255" s="99"/>
      <c r="I255" s="176">
        <f t="shared" si="16"/>
        <v>11923</v>
      </c>
      <c r="J255" s="95"/>
      <c r="K255" s="99">
        <f t="shared" si="17"/>
        <v>11923</v>
      </c>
    </row>
    <row r="256" spans="1:11" ht="31.9" customHeight="1">
      <c r="A256" s="95"/>
      <c r="B256" s="94"/>
      <c r="C256" s="99"/>
      <c r="D256" s="99"/>
      <c r="E256" s="99"/>
      <c r="F256" s="99"/>
      <c r="G256" s="99"/>
      <c r="H256" s="99"/>
      <c r="I256" s="176">
        <f t="shared" si="16"/>
        <v>0</v>
      </c>
      <c r="J256" s="95"/>
      <c r="K256" s="99">
        <f t="shared" si="17"/>
        <v>0</v>
      </c>
    </row>
    <row r="257" spans="1:11" ht="15" customHeight="1">
      <c r="A257" s="95"/>
      <c r="B257" s="95" t="s">
        <v>448</v>
      </c>
      <c r="C257" s="99"/>
      <c r="D257" s="99"/>
      <c r="E257" s="99">
        <v>5534</v>
      </c>
      <c r="F257" s="99"/>
      <c r="G257" s="99"/>
      <c r="H257" s="99"/>
      <c r="I257" s="176">
        <f t="shared" si="16"/>
        <v>5534</v>
      </c>
      <c r="J257" s="84"/>
      <c r="K257" s="53">
        <f t="shared" si="17"/>
        <v>5534</v>
      </c>
    </row>
    <row r="258" spans="1:11" ht="15" customHeight="1">
      <c r="A258" s="95"/>
      <c r="B258" s="95" t="s">
        <v>3</v>
      </c>
      <c r="C258" s="99"/>
      <c r="D258" s="99"/>
      <c r="E258" s="99">
        <v>115</v>
      </c>
      <c r="F258" s="99"/>
      <c r="G258" s="99"/>
      <c r="H258" s="99"/>
      <c r="I258" s="176">
        <f t="shared" si="16"/>
        <v>115</v>
      </c>
      <c r="J258" s="84"/>
      <c r="K258" s="53">
        <f t="shared" si="17"/>
        <v>115</v>
      </c>
    </row>
    <row r="259" spans="1:11" ht="30.75" customHeight="1">
      <c r="A259" s="95"/>
      <c r="B259" s="94" t="s">
        <v>7</v>
      </c>
      <c r="C259" s="99"/>
      <c r="D259" s="99"/>
      <c r="E259" s="99">
        <v>85</v>
      </c>
      <c r="F259" s="99"/>
      <c r="G259" s="99"/>
      <c r="H259" s="99"/>
      <c r="I259" s="176">
        <f t="shared" si="16"/>
        <v>85</v>
      </c>
      <c r="J259" s="84"/>
      <c r="K259" s="53">
        <f t="shared" si="17"/>
        <v>85</v>
      </c>
    </row>
    <row r="260" spans="1:11" ht="15" customHeight="1">
      <c r="A260" s="95"/>
      <c r="B260" s="95" t="s">
        <v>137</v>
      </c>
      <c r="C260" s="99"/>
      <c r="D260" s="99"/>
      <c r="E260" s="92">
        <v>1200</v>
      </c>
      <c r="F260" s="92"/>
      <c r="G260" s="99"/>
      <c r="H260" s="99"/>
      <c r="I260" s="176">
        <f t="shared" si="16"/>
        <v>1200</v>
      </c>
      <c r="J260" s="84"/>
      <c r="K260" s="53">
        <f t="shared" si="17"/>
        <v>1200</v>
      </c>
    </row>
    <row r="261" spans="1:11" ht="30" customHeight="1">
      <c r="A261" s="95"/>
      <c r="B261" s="94" t="s">
        <v>10</v>
      </c>
      <c r="C261" s="99"/>
      <c r="D261" s="99"/>
      <c r="E261" s="92">
        <v>500</v>
      </c>
      <c r="F261" s="92"/>
      <c r="G261" s="99"/>
      <c r="H261" s="99"/>
      <c r="I261" s="176">
        <f t="shared" si="16"/>
        <v>500</v>
      </c>
      <c r="J261" s="84"/>
      <c r="K261" s="53">
        <f t="shared" si="17"/>
        <v>500</v>
      </c>
    </row>
    <row r="262" spans="1:11" ht="15" customHeight="1">
      <c r="A262" s="95"/>
      <c r="B262" s="95" t="s">
        <v>12</v>
      </c>
      <c r="C262" s="99"/>
      <c r="D262" s="99"/>
      <c r="E262" s="92">
        <v>67</v>
      </c>
      <c r="F262" s="92"/>
      <c r="G262" s="99"/>
      <c r="H262" s="99"/>
      <c r="I262" s="176">
        <f t="shared" si="16"/>
        <v>67</v>
      </c>
      <c r="J262" s="84"/>
      <c r="K262" s="53">
        <f t="shared" si="17"/>
        <v>67</v>
      </c>
    </row>
    <row r="263" spans="1:11" ht="15" customHeight="1">
      <c r="A263" s="95"/>
      <c r="B263" s="95" t="s">
        <v>787</v>
      </c>
      <c r="C263" s="99"/>
      <c r="D263" s="99"/>
      <c r="E263" s="92">
        <v>897</v>
      </c>
      <c r="F263" s="92"/>
      <c r="G263" s="99"/>
      <c r="H263" s="99"/>
      <c r="I263" s="176">
        <f t="shared" si="16"/>
        <v>897</v>
      </c>
      <c r="J263" s="84"/>
      <c r="K263" s="53">
        <f t="shared" si="17"/>
        <v>897</v>
      </c>
    </row>
    <row r="264" spans="1:11" ht="15" customHeight="1">
      <c r="A264" s="95"/>
      <c r="B264" s="95" t="s">
        <v>23</v>
      </c>
      <c r="C264" s="99"/>
      <c r="D264" s="99"/>
      <c r="E264" s="99">
        <v>2191</v>
      </c>
      <c r="F264" s="99"/>
      <c r="G264" s="99"/>
      <c r="H264" s="99"/>
      <c r="I264" s="176">
        <f t="shared" si="16"/>
        <v>2191</v>
      </c>
      <c r="J264" s="84"/>
      <c r="K264" s="53">
        <f t="shared" si="17"/>
        <v>2191</v>
      </c>
    </row>
    <row r="265" spans="1:11" ht="15" customHeight="1">
      <c r="A265" s="95"/>
      <c r="B265" s="95" t="s">
        <v>333</v>
      </c>
      <c r="C265" s="99"/>
      <c r="D265" s="99"/>
      <c r="E265" s="99">
        <v>850</v>
      </c>
      <c r="F265" s="99"/>
      <c r="G265" s="99"/>
      <c r="H265" s="99"/>
      <c r="I265" s="176">
        <f t="shared" si="16"/>
        <v>850</v>
      </c>
      <c r="J265" s="84"/>
      <c r="K265" s="53">
        <f t="shared" si="17"/>
        <v>850</v>
      </c>
    </row>
    <row r="266" spans="1:11" ht="34.9" customHeight="1">
      <c r="A266" s="95"/>
      <c r="B266" s="94" t="s">
        <v>149</v>
      </c>
      <c r="C266" s="99"/>
      <c r="D266" s="99"/>
      <c r="E266" s="99">
        <v>1825</v>
      </c>
      <c r="F266" s="99"/>
      <c r="G266" s="99"/>
      <c r="H266" s="99"/>
      <c r="I266" s="176">
        <f t="shared" si="18" ref="I266:J297">E266</f>
        <v>1825</v>
      </c>
      <c r="J266" s="84"/>
      <c r="K266" s="53">
        <f t="shared" si="17"/>
        <v>1825</v>
      </c>
    </row>
    <row r="267" spans="1:11" ht="20.25" customHeight="1">
      <c r="A267" s="95"/>
      <c r="B267" s="95" t="s">
        <v>148</v>
      </c>
      <c r="C267" s="99"/>
      <c r="D267" s="99"/>
      <c r="E267" s="99">
        <v>3590</v>
      </c>
      <c r="F267" s="99"/>
      <c r="G267" s="99"/>
      <c r="H267" s="99"/>
      <c r="I267" s="176">
        <f t="shared" si="18"/>
        <v>3590</v>
      </c>
      <c r="J267" s="84"/>
      <c r="K267" s="53">
        <f t="shared" si="17"/>
        <v>3590</v>
      </c>
    </row>
    <row r="268" spans="1:11" ht="15" customHeight="1">
      <c r="A268" s="95"/>
      <c r="B268" s="95" t="s">
        <v>335</v>
      </c>
      <c r="C268" s="99"/>
      <c r="D268" s="99"/>
      <c r="E268" s="99">
        <v>240</v>
      </c>
      <c r="F268" s="99"/>
      <c r="G268" s="99"/>
      <c r="H268" s="99"/>
      <c r="I268" s="176">
        <f t="shared" si="18"/>
        <v>240</v>
      </c>
      <c r="J268" s="84"/>
      <c r="K268" s="53">
        <f t="shared" si="17"/>
        <v>240</v>
      </c>
    </row>
    <row r="269" spans="1:11" ht="15" customHeight="1">
      <c r="A269" s="95"/>
      <c r="B269" s="94" t="s">
        <v>198</v>
      </c>
      <c r="C269" s="99"/>
      <c r="D269" s="99"/>
      <c r="E269" s="99">
        <v>200</v>
      </c>
      <c r="F269" s="99"/>
      <c r="G269" s="99"/>
      <c r="H269" s="99"/>
      <c r="I269" s="176">
        <f t="shared" si="18"/>
        <v>200</v>
      </c>
      <c r="J269" s="84"/>
      <c r="K269" s="53">
        <f t="shared" si="17"/>
        <v>200</v>
      </c>
    </row>
    <row r="270" spans="1:11" ht="15" customHeight="1">
      <c r="A270" s="95"/>
      <c r="B270" s="95" t="s">
        <v>120</v>
      </c>
      <c r="C270" s="99"/>
      <c r="D270" s="99"/>
      <c r="E270" s="99">
        <v>7500</v>
      </c>
      <c r="F270" s="99"/>
      <c r="G270" s="99"/>
      <c r="H270" s="99"/>
      <c r="I270" s="176">
        <f t="shared" si="18"/>
        <v>7500</v>
      </c>
      <c r="J270" s="84"/>
      <c r="K270" s="53">
        <f t="shared" si="17"/>
        <v>7500</v>
      </c>
    </row>
    <row r="271" spans="1:11" ht="15" customHeight="1">
      <c r="A271" s="95"/>
      <c r="B271" s="95" t="s">
        <v>126</v>
      </c>
      <c r="C271" s="99"/>
      <c r="D271" s="99"/>
      <c r="E271" s="99">
        <v>1000</v>
      </c>
      <c r="F271" s="99"/>
      <c r="G271" s="99"/>
      <c r="H271" s="99"/>
      <c r="I271" s="176">
        <f t="shared" si="18"/>
        <v>1000</v>
      </c>
      <c r="J271" s="95"/>
      <c r="K271" s="99">
        <f t="shared" si="17"/>
        <v>1000</v>
      </c>
    </row>
    <row r="272" spans="1:11" ht="14.25" customHeight="1">
      <c r="A272" s="95"/>
      <c r="B272" s="95" t="s">
        <v>121</v>
      </c>
      <c r="C272" s="99"/>
      <c r="D272" s="99"/>
      <c r="E272" s="99">
        <v>2100</v>
      </c>
      <c r="F272" s="99"/>
      <c r="G272" s="99"/>
      <c r="H272" s="99"/>
      <c r="I272" s="176">
        <f t="shared" si="18"/>
        <v>2100</v>
      </c>
      <c r="J272" s="95"/>
      <c r="K272" s="99">
        <f t="shared" si="17"/>
        <v>2100</v>
      </c>
    </row>
    <row r="273" spans="1:11" ht="15" customHeight="1">
      <c r="A273" s="95"/>
      <c r="B273" s="95" t="s">
        <v>540</v>
      </c>
      <c r="C273" s="99"/>
      <c r="D273" s="99"/>
      <c r="E273" s="99">
        <v>3200</v>
      </c>
      <c r="F273" s="99"/>
      <c r="G273" s="99"/>
      <c r="H273" s="99"/>
      <c r="I273" s="176">
        <f t="shared" si="18"/>
        <v>3200</v>
      </c>
      <c r="J273" s="95"/>
      <c r="K273" s="99">
        <f t="shared" si="17"/>
        <v>3200</v>
      </c>
    </row>
    <row r="274" spans="1:12" s="86" customFormat="1" ht="32.25" customHeight="1">
      <c r="A274" s="96" t="s">
        <v>541</v>
      </c>
      <c r="B274" s="97" t="s">
        <v>542</v>
      </c>
      <c r="C274" s="98"/>
      <c r="D274" s="98"/>
      <c r="E274" s="98">
        <f>E275+E282+E292+E315+E398+E401</f>
        <v>4271851</v>
      </c>
      <c r="F274" s="98">
        <f>F275+F282+F292+F315+F398+F401</f>
        <v>80678</v>
      </c>
      <c r="G274" s="99"/>
      <c r="H274" s="127">
        <f>H275+H282+H292+H315+H398+H401</f>
        <v>0</v>
      </c>
      <c r="I274" s="175">
        <f t="shared" si="18"/>
        <v>4271851</v>
      </c>
      <c r="J274" s="175">
        <f t="shared" si="18"/>
        <v>80678</v>
      </c>
      <c r="K274" s="98">
        <f t="shared" si="17"/>
        <v>4352529</v>
      </c>
      <c r="L274" s="74"/>
    </row>
    <row r="275" spans="1:12" ht="32.25" customHeight="1">
      <c r="A275" s="96" t="s">
        <v>543</v>
      </c>
      <c r="B275" s="97" t="s">
        <v>544</v>
      </c>
      <c r="C275" s="98"/>
      <c r="D275" s="98"/>
      <c r="E275" s="98">
        <f>SUM(E276:E281)</f>
        <v>1718129</v>
      </c>
      <c r="F275" s="98">
        <f>SUM(F276:F281)</f>
        <v>31764</v>
      </c>
      <c r="G275" s="98"/>
      <c r="H275" s="98"/>
      <c r="I275" s="175">
        <f t="shared" si="18"/>
        <v>1718129</v>
      </c>
      <c r="J275" s="95"/>
      <c r="K275" s="98">
        <f t="shared" si="17"/>
        <v>1718129</v>
      </c>
      <c r="L275" s="86"/>
    </row>
    <row r="276" spans="1:14" ht="15" customHeight="1">
      <c r="A276" s="95"/>
      <c r="B276" s="94" t="s">
        <v>53</v>
      </c>
      <c r="C276" s="99"/>
      <c r="D276" s="99"/>
      <c r="E276" s="92">
        <v>1161994</v>
      </c>
      <c r="F276" s="92"/>
      <c r="G276" s="99"/>
      <c r="H276" s="99"/>
      <c r="I276" s="176">
        <f t="shared" si="18"/>
        <v>1161994</v>
      </c>
      <c r="J276" s="182"/>
      <c r="K276" s="99">
        <f t="shared" si="17"/>
        <v>1161994</v>
      </c>
      <c r="M276" s="139"/>
      <c r="N276" s="139"/>
    </row>
    <row r="277" spans="1:11" ht="15" customHeight="1">
      <c r="A277" s="95"/>
      <c r="B277" s="94" t="s">
        <v>84</v>
      </c>
      <c r="C277" s="99"/>
      <c r="D277" s="99"/>
      <c r="E277" s="99">
        <v>10796</v>
      </c>
      <c r="F277" s="99"/>
      <c r="G277" s="99"/>
      <c r="H277" s="99"/>
      <c r="I277" s="176">
        <f t="shared" si="18"/>
        <v>10796</v>
      </c>
      <c r="J277" s="95"/>
      <c r="K277" s="99">
        <f t="shared" si="17"/>
        <v>10796</v>
      </c>
    </row>
    <row r="278" spans="1:11" ht="15" customHeight="1">
      <c r="A278" s="95"/>
      <c r="B278" s="94" t="s">
        <v>506</v>
      </c>
      <c r="C278" s="99"/>
      <c r="D278" s="99"/>
      <c r="E278" s="92">
        <v>164000</v>
      </c>
      <c r="F278" s="92">
        <v>31764</v>
      </c>
      <c r="G278" s="99"/>
      <c r="H278" s="99"/>
      <c r="I278" s="176">
        <f t="shared" si="18"/>
        <v>164000</v>
      </c>
      <c r="J278" s="99">
        <f>F278</f>
        <v>31764</v>
      </c>
      <c r="K278" s="99">
        <f t="shared" si="17"/>
        <v>195764</v>
      </c>
    </row>
    <row r="279" spans="1:11" ht="15" customHeight="1">
      <c r="A279" s="95"/>
      <c r="B279" s="114" t="s">
        <v>129</v>
      </c>
      <c r="C279" s="99"/>
      <c r="D279" s="99"/>
      <c r="E279" s="99">
        <v>215220</v>
      </c>
      <c r="F279" s="99"/>
      <c r="G279" s="99"/>
      <c r="H279" s="99"/>
      <c r="I279" s="176">
        <f t="shared" si="18"/>
        <v>215220</v>
      </c>
      <c r="J279" s="95"/>
      <c r="K279" s="99">
        <f t="shared" si="17"/>
        <v>215220</v>
      </c>
    </row>
    <row r="280" spans="1:11" ht="15" customHeight="1">
      <c r="A280" s="95"/>
      <c r="B280" s="114" t="s">
        <v>130</v>
      </c>
      <c r="C280" s="99"/>
      <c r="D280" s="99"/>
      <c r="E280" s="99">
        <v>155308</v>
      </c>
      <c r="F280" s="99"/>
      <c r="G280" s="99"/>
      <c r="H280" s="99"/>
      <c r="I280" s="176">
        <f t="shared" si="18"/>
        <v>155308</v>
      </c>
      <c r="J280" s="95"/>
      <c r="K280" s="99">
        <f t="shared" si="17"/>
        <v>155308</v>
      </c>
    </row>
    <row r="281" spans="1:11" ht="15" customHeight="1">
      <c r="A281" s="95"/>
      <c r="B281" s="114" t="s">
        <v>448</v>
      </c>
      <c r="C281" s="99"/>
      <c r="D281" s="99"/>
      <c r="E281" s="99">
        <v>10811</v>
      </c>
      <c r="F281" s="99"/>
      <c r="G281" s="99"/>
      <c r="H281" s="99"/>
      <c r="I281" s="176">
        <f t="shared" si="18"/>
        <v>10811</v>
      </c>
      <c r="J281" s="95"/>
      <c r="K281" s="99">
        <f t="shared" si="17"/>
        <v>10811</v>
      </c>
    </row>
    <row r="282" spans="1:12" s="86" customFormat="1" ht="29.25" customHeight="1">
      <c r="A282" s="96" t="s">
        <v>545</v>
      </c>
      <c r="B282" s="97" t="s">
        <v>546</v>
      </c>
      <c r="C282" s="98"/>
      <c r="D282" s="98"/>
      <c r="E282" s="98">
        <f>SUM(E283:E291)</f>
        <v>510</v>
      </c>
      <c r="F282" s="98"/>
      <c r="G282" s="98"/>
      <c r="H282" s="98"/>
      <c r="I282" s="175">
        <f t="shared" si="18"/>
        <v>510</v>
      </c>
      <c r="J282" s="96"/>
      <c r="K282" s="98">
        <f t="shared" si="17"/>
        <v>510</v>
      </c>
      <c r="L282" s="74"/>
    </row>
    <row r="283" spans="1:12" ht="15" customHeight="1">
      <c r="A283" s="95"/>
      <c r="B283" s="114" t="s">
        <v>30</v>
      </c>
      <c r="C283" s="99"/>
      <c r="D283" s="99"/>
      <c r="E283" s="99">
        <v>150</v>
      </c>
      <c r="F283" s="99"/>
      <c r="G283" s="99"/>
      <c r="H283" s="99"/>
      <c r="I283" s="176">
        <f t="shared" si="18"/>
        <v>150</v>
      </c>
      <c r="J283" s="84"/>
      <c r="K283" s="53">
        <f t="shared" si="17"/>
        <v>150</v>
      </c>
      <c r="L283" s="86"/>
    </row>
    <row r="284" spans="1:11" ht="15" customHeight="1">
      <c r="A284" s="95"/>
      <c r="B284" s="114" t="s">
        <v>547</v>
      </c>
      <c r="C284" s="99"/>
      <c r="D284" s="99"/>
      <c r="E284" s="99">
        <v>50</v>
      </c>
      <c r="F284" s="99"/>
      <c r="G284" s="99"/>
      <c r="H284" s="99"/>
      <c r="I284" s="176">
        <f t="shared" si="18"/>
        <v>50</v>
      </c>
      <c r="J284" s="84"/>
      <c r="K284" s="53">
        <f t="shared" si="17"/>
        <v>50</v>
      </c>
    </row>
    <row r="285" spans="1:11" ht="15" customHeight="1">
      <c r="A285" s="95"/>
      <c r="B285" s="114" t="s">
        <v>152</v>
      </c>
      <c r="C285" s="99"/>
      <c r="D285" s="99"/>
      <c r="E285" s="99">
        <v>10</v>
      </c>
      <c r="F285" s="99"/>
      <c r="G285" s="99"/>
      <c r="H285" s="99"/>
      <c r="I285" s="176">
        <f t="shared" si="18"/>
        <v>10</v>
      </c>
      <c r="J285" s="84"/>
      <c r="K285" s="53">
        <f t="shared" si="17"/>
        <v>10</v>
      </c>
    </row>
    <row r="286" spans="1:11" ht="15" customHeight="1">
      <c r="A286" s="95"/>
      <c r="B286" s="114" t="s">
        <v>548</v>
      </c>
      <c r="C286" s="99"/>
      <c r="D286" s="99"/>
      <c r="E286" s="99">
        <v>50</v>
      </c>
      <c r="F286" s="99"/>
      <c r="G286" s="99"/>
      <c r="H286" s="99"/>
      <c r="I286" s="176">
        <f t="shared" si="18"/>
        <v>50</v>
      </c>
      <c r="J286" s="95"/>
      <c r="K286" s="99">
        <f t="shared" si="17"/>
        <v>50</v>
      </c>
    </row>
    <row r="287" spans="1:11" ht="15" customHeight="1">
      <c r="A287" s="95"/>
      <c r="B287" s="114" t="s">
        <v>489</v>
      </c>
      <c r="C287" s="99"/>
      <c r="D287" s="99"/>
      <c r="E287" s="99">
        <v>50</v>
      </c>
      <c r="F287" s="99"/>
      <c r="G287" s="99"/>
      <c r="H287" s="99"/>
      <c r="I287" s="176">
        <f t="shared" si="18"/>
        <v>50</v>
      </c>
      <c r="J287" s="95"/>
      <c r="K287" s="99">
        <f t="shared" si="17"/>
        <v>50</v>
      </c>
    </row>
    <row r="288" spans="1:11" ht="15" customHeight="1">
      <c r="A288" s="95"/>
      <c r="B288" s="114" t="s">
        <v>549</v>
      </c>
      <c r="C288" s="99"/>
      <c r="D288" s="99"/>
      <c r="E288" s="99">
        <v>50</v>
      </c>
      <c r="F288" s="99"/>
      <c r="G288" s="99"/>
      <c r="H288" s="99"/>
      <c r="I288" s="176">
        <f t="shared" si="18"/>
        <v>50</v>
      </c>
      <c r="J288" s="95"/>
      <c r="K288" s="99">
        <f t="shared" si="17"/>
        <v>50</v>
      </c>
    </row>
    <row r="289" spans="1:11" ht="15" customHeight="1">
      <c r="A289" s="95"/>
      <c r="B289" s="114" t="s">
        <v>127</v>
      </c>
      <c r="C289" s="99"/>
      <c r="D289" s="99"/>
      <c r="E289" s="99">
        <v>50</v>
      </c>
      <c r="F289" s="99"/>
      <c r="G289" s="99"/>
      <c r="H289" s="99"/>
      <c r="I289" s="176">
        <f t="shared" si="18"/>
        <v>50</v>
      </c>
      <c r="J289" s="95"/>
      <c r="K289" s="99">
        <f t="shared" si="17"/>
        <v>50</v>
      </c>
    </row>
    <row r="290" spans="1:11" ht="15" customHeight="1">
      <c r="A290" s="95"/>
      <c r="B290" s="114" t="s">
        <v>550</v>
      </c>
      <c r="C290" s="99"/>
      <c r="D290" s="99"/>
      <c r="E290" s="99">
        <v>50</v>
      </c>
      <c r="F290" s="99"/>
      <c r="G290" s="99"/>
      <c r="H290" s="99"/>
      <c r="I290" s="176">
        <f t="shared" si="18"/>
        <v>50</v>
      </c>
      <c r="J290" s="95"/>
      <c r="K290" s="99">
        <f t="shared" si="17"/>
        <v>50</v>
      </c>
    </row>
    <row r="291" spans="1:11" ht="15" customHeight="1">
      <c r="A291" s="95"/>
      <c r="B291" s="114" t="s">
        <v>551</v>
      </c>
      <c r="C291" s="99"/>
      <c r="D291" s="99"/>
      <c r="E291" s="99">
        <v>50</v>
      </c>
      <c r="F291" s="99"/>
      <c r="G291" s="99"/>
      <c r="H291" s="99"/>
      <c r="I291" s="176">
        <f t="shared" si="18"/>
        <v>50</v>
      </c>
      <c r="J291" s="95"/>
      <c r="K291" s="99">
        <f t="shared" si="17"/>
        <v>50</v>
      </c>
    </row>
    <row r="292" spans="1:11" ht="15" customHeight="1">
      <c r="A292" s="96" t="s">
        <v>552</v>
      </c>
      <c r="B292" s="96" t="s">
        <v>553</v>
      </c>
      <c r="C292" s="98"/>
      <c r="D292" s="98"/>
      <c r="E292" s="98">
        <f>SUM(E293:E314)</f>
        <v>83071</v>
      </c>
      <c r="F292" s="98">
        <f>SUM(F293:F314)</f>
        <v>4145</v>
      </c>
      <c r="G292" s="98"/>
      <c r="H292" s="98"/>
      <c r="I292" s="175">
        <f t="shared" si="18"/>
        <v>83071</v>
      </c>
      <c r="J292" s="175">
        <f>F292</f>
        <v>4145</v>
      </c>
      <c r="K292" s="98">
        <f>I292+J292</f>
        <v>87216</v>
      </c>
    </row>
    <row r="293" spans="1:11" ht="15" customHeight="1">
      <c r="A293" s="95"/>
      <c r="B293" s="116" t="s">
        <v>788</v>
      </c>
      <c r="C293" s="99"/>
      <c r="D293" s="99"/>
      <c r="E293" s="99">
        <v>37736</v>
      </c>
      <c r="F293" s="99"/>
      <c r="G293" s="99"/>
      <c r="H293" s="99"/>
      <c r="I293" s="176">
        <f t="shared" si="18"/>
        <v>37736</v>
      </c>
      <c r="J293" s="95"/>
      <c r="K293" s="99">
        <f t="shared" si="17"/>
        <v>37736</v>
      </c>
    </row>
    <row r="294" spans="1:11" ht="15" customHeight="1">
      <c r="A294" s="95"/>
      <c r="B294" s="116" t="s">
        <v>789</v>
      </c>
      <c r="C294" s="99"/>
      <c r="D294" s="99"/>
      <c r="E294" s="99">
        <v>1800</v>
      </c>
      <c r="F294" s="99"/>
      <c r="G294" s="99"/>
      <c r="H294" s="99"/>
      <c r="I294" s="176">
        <f t="shared" si="18"/>
        <v>1800</v>
      </c>
      <c r="J294" s="95"/>
      <c r="K294" s="99">
        <f t="shared" si="17"/>
        <v>1800</v>
      </c>
    </row>
    <row r="295" spans="1:11" ht="15" customHeight="1">
      <c r="A295" s="95"/>
      <c r="B295" s="116" t="s">
        <v>554</v>
      </c>
      <c r="C295" s="99"/>
      <c r="D295" s="99"/>
      <c r="E295" s="99">
        <f>2800+1133</f>
        <v>3933</v>
      </c>
      <c r="F295" s="99"/>
      <c r="G295" s="99"/>
      <c r="H295" s="99"/>
      <c r="I295" s="176">
        <f t="shared" si="18"/>
        <v>3933</v>
      </c>
      <c r="J295" s="99">
        <f>F295</f>
        <v>0</v>
      </c>
      <c r="K295" s="99">
        <f t="shared" si="17"/>
        <v>3933</v>
      </c>
    </row>
    <row r="296" spans="1:11" ht="15" customHeight="1">
      <c r="A296" s="95"/>
      <c r="B296" s="116" t="s">
        <v>304</v>
      </c>
      <c r="C296" s="99"/>
      <c r="D296" s="99"/>
      <c r="E296" s="99">
        <v>400</v>
      </c>
      <c r="F296" s="99"/>
      <c r="G296" s="99"/>
      <c r="H296" s="99"/>
      <c r="I296" s="176">
        <f t="shared" si="18"/>
        <v>400</v>
      </c>
      <c r="J296" s="95"/>
      <c r="K296" s="99">
        <f t="shared" si="17"/>
        <v>400</v>
      </c>
    </row>
    <row r="297" spans="1:11" ht="15" customHeight="1">
      <c r="A297" s="95"/>
      <c r="B297" s="116" t="s">
        <v>39</v>
      </c>
      <c r="C297" s="99"/>
      <c r="D297" s="99"/>
      <c r="E297" s="99">
        <v>200</v>
      </c>
      <c r="F297" s="99"/>
      <c r="G297" s="99"/>
      <c r="H297" s="99"/>
      <c r="I297" s="176">
        <f t="shared" si="18"/>
        <v>200</v>
      </c>
      <c r="J297" s="95"/>
      <c r="K297" s="99">
        <f t="shared" si="17"/>
        <v>200</v>
      </c>
    </row>
    <row r="298" spans="1:11" ht="15" customHeight="1">
      <c r="A298" s="95"/>
      <c r="B298" s="116" t="s">
        <v>555</v>
      </c>
      <c r="C298" s="99"/>
      <c r="D298" s="99"/>
      <c r="E298" s="99">
        <v>2467</v>
      </c>
      <c r="F298" s="99">
        <v>3920</v>
      </c>
      <c r="G298" s="99"/>
      <c r="H298" s="99"/>
      <c r="I298" s="176">
        <f t="shared" si="19" ref="I298:I331">E298</f>
        <v>2467</v>
      </c>
      <c r="J298" s="99">
        <f>F298</f>
        <v>3920</v>
      </c>
      <c r="K298" s="99">
        <f t="shared" si="17"/>
        <v>6387</v>
      </c>
    </row>
    <row r="299" spans="1:11" ht="15" customHeight="1">
      <c r="A299" s="95"/>
      <c r="B299" s="116" t="s">
        <v>471</v>
      </c>
      <c r="C299" s="99"/>
      <c r="D299" s="99"/>
      <c r="E299" s="99">
        <v>6000</v>
      </c>
      <c r="F299" s="99">
        <v>225</v>
      </c>
      <c r="G299" s="99"/>
      <c r="H299" s="99"/>
      <c r="I299" s="176">
        <f t="shared" si="19"/>
        <v>6000</v>
      </c>
      <c r="J299" s="99">
        <f>F299</f>
        <v>225</v>
      </c>
      <c r="K299" s="99">
        <f t="shared" si="17"/>
        <v>6225</v>
      </c>
    </row>
    <row r="300" spans="1:11" ht="15" customHeight="1">
      <c r="A300" s="95"/>
      <c r="B300" s="116" t="s">
        <v>688</v>
      </c>
      <c r="C300" s="99"/>
      <c r="D300" s="99"/>
      <c r="E300" s="99">
        <v>200</v>
      </c>
      <c r="F300" s="99"/>
      <c r="G300" s="99"/>
      <c r="H300" s="99"/>
      <c r="I300" s="176">
        <f t="shared" si="19"/>
        <v>200</v>
      </c>
      <c r="J300" s="95"/>
      <c r="K300" s="99">
        <f t="shared" si="17"/>
        <v>200</v>
      </c>
    </row>
    <row r="301" spans="1:11" ht="15" customHeight="1">
      <c r="A301" s="95"/>
      <c r="B301" s="116" t="s">
        <v>158</v>
      </c>
      <c r="C301" s="99"/>
      <c r="D301" s="99"/>
      <c r="E301" s="99">
        <v>4900</v>
      </c>
      <c r="F301" s="99"/>
      <c r="G301" s="99"/>
      <c r="H301" s="99"/>
      <c r="I301" s="176">
        <f t="shared" si="19"/>
        <v>4900</v>
      </c>
      <c r="J301" s="95"/>
      <c r="K301" s="99">
        <f t="shared" si="20" ref="K301:K364">I301+J301</f>
        <v>4900</v>
      </c>
    </row>
    <row r="302" spans="1:11" ht="15" customHeight="1">
      <c r="A302" s="95"/>
      <c r="B302" s="116" t="s">
        <v>205</v>
      </c>
      <c r="C302" s="99"/>
      <c r="D302" s="99"/>
      <c r="E302" s="99">
        <v>560</v>
      </c>
      <c r="F302" s="99"/>
      <c r="G302" s="99"/>
      <c r="H302" s="99"/>
      <c r="I302" s="176">
        <f t="shared" si="19"/>
        <v>560</v>
      </c>
      <c r="J302" s="95"/>
      <c r="K302" s="99">
        <f t="shared" si="20"/>
        <v>560</v>
      </c>
    </row>
    <row r="303" spans="1:11" ht="15" customHeight="1">
      <c r="A303" s="95"/>
      <c r="B303" s="116" t="s">
        <v>754</v>
      </c>
      <c r="C303" s="99"/>
      <c r="D303" s="99"/>
      <c r="E303" s="99">
        <v>50</v>
      </c>
      <c r="F303" s="99"/>
      <c r="G303" s="99"/>
      <c r="H303" s="99"/>
      <c r="I303" s="176">
        <f t="shared" si="19"/>
        <v>50</v>
      </c>
      <c r="J303" s="95"/>
      <c r="K303" s="99">
        <f t="shared" si="20"/>
        <v>50</v>
      </c>
    </row>
    <row r="304" spans="1:11" ht="15" customHeight="1">
      <c r="A304" s="95"/>
      <c r="B304" s="116" t="s">
        <v>556</v>
      </c>
      <c r="C304" s="99"/>
      <c r="D304" s="99"/>
      <c r="E304" s="99">
        <v>2500</v>
      </c>
      <c r="F304" s="99"/>
      <c r="G304" s="99"/>
      <c r="H304" s="99"/>
      <c r="I304" s="176">
        <f t="shared" si="19"/>
        <v>2500</v>
      </c>
      <c r="J304" s="99"/>
      <c r="K304" s="99">
        <f t="shared" si="20"/>
        <v>2500</v>
      </c>
    </row>
    <row r="305" spans="1:12" s="86" customFormat="1" ht="24" customHeight="1">
      <c r="A305" s="95"/>
      <c r="B305" s="116" t="s">
        <v>216</v>
      </c>
      <c r="C305" s="99"/>
      <c r="D305" s="99"/>
      <c r="E305" s="99">
        <v>2740</v>
      </c>
      <c r="F305" s="99"/>
      <c r="G305" s="99"/>
      <c r="H305" s="99"/>
      <c r="I305" s="176">
        <f t="shared" si="19"/>
        <v>2740</v>
      </c>
      <c r="J305" s="95"/>
      <c r="K305" s="99">
        <f t="shared" si="20"/>
        <v>2740</v>
      </c>
      <c r="L305" s="74"/>
    </row>
    <row r="306" spans="1:11" s="86" customFormat="1" ht="15" customHeight="1">
      <c r="A306" s="95"/>
      <c r="B306" s="116" t="s">
        <v>476</v>
      </c>
      <c r="C306" s="99"/>
      <c r="D306" s="99"/>
      <c r="E306" s="99">
        <v>765</v>
      </c>
      <c r="F306" s="99"/>
      <c r="G306" s="99"/>
      <c r="H306" s="99"/>
      <c r="I306" s="176">
        <f t="shared" si="19"/>
        <v>765</v>
      </c>
      <c r="J306" s="95"/>
      <c r="K306" s="99">
        <f t="shared" si="20"/>
        <v>765</v>
      </c>
    </row>
    <row r="307" spans="1:12" s="87" customFormat="1" ht="15" customHeight="1">
      <c r="A307" s="95"/>
      <c r="B307" s="116" t="s">
        <v>41</v>
      </c>
      <c r="C307" s="99"/>
      <c r="D307" s="99"/>
      <c r="E307" s="99">
        <v>500</v>
      </c>
      <c r="F307" s="99"/>
      <c r="G307" s="99"/>
      <c r="H307" s="99"/>
      <c r="I307" s="176">
        <f t="shared" si="19"/>
        <v>500</v>
      </c>
      <c r="J307" s="84"/>
      <c r="K307" s="53">
        <f t="shared" si="20"/>
        <v>500</v>
      </c>
      <c r="L307" s="86"/>
    </row>
    <row r="308" spans="1:12" ht="24.75" customHeight="1">
      <c r="A308" s="95"/>
      <c r="B308" s="116" t="s">
        <v>156</v>
      </c>
      <c r="C308" s="99"/>
      <c r="D308" s="99"/>
      <c r="E308" s="99">
        <v>9200</v>
      </c>
      <c r="F308" s="99"/>
      <c r="G308" s="99"/>
      <c r="H308" s="99"/>
      <c r="I308" s="176">
        <f t="shared" si="19"/>
        <v>9200</v>
      </c>
      <c r="J308" s="84"/>
      <c r="K308" s="53">
        <f t="shared" si="20"/>
        <v>9200</v>
      </c>
      <c r="L308" s="87"/>
    </row>
    <row r="309" spans="1:11" ht="15" customHeight="1">
      <c r="A309" s="95"/>
      <c r="B309" s="116" t="s">
        <v>155</v>
      </c>
      <c r="C309" s="99"/>
      <c r="D309" s="99"/>
      <c r="E309" s="99">
        <v>3500</v>
      </c>
      <c r="F309" s="99"/>
      <c r="G309" s="99"/>
      <c r="H309" s="99"/>
      <c r="I309" s="176">
        <f t="shared" si="19"/>
        <v>3500</v>
      </c>
      <c r="J309" s="84"/>
      <c r="K309" s="53">
        <f t="shared" si="20"/>
        <v>3500</v>
      </c>
    </row>
    <row r="310" spans="1:11" ht="15" customHeight="1">
      <c r="A310" s="95"/>
      <c r="B310" s="116" t="s">
        <v>82</v>
      </c>
      <c r="C310" s="99"/>
      <c r="D310" s="99"/>
      <c r="E310" s="99">
        <v>1800</v>
      </c>
      <c r="F310" s="99"/>
      <c r="G310" s="99"/>
      <c r="H310" s="99"/>
      <c r="I310" s="176">
        <f t="shared" si="19"/>
        <v>1800</v>
      </c>
      <c r="J310" s="84"/>
      <c r="K310" s="53">
        <f t="shared" si="20"/>
        <v>1800</v>
      </c>
    </row>
    <row r="311" spans="1:11" ht="15" customHeight="1">
      <c r="A311" s="95"/>
      <c r="B311" s="116" t="s">
        <v>153</v>
      </c>
      <c r="C311" s="99"/>
      <c r="D311" s="99"/>
      <c r="E311" s="99">
        <v>150</v>
      </c>
      <c r="F311" s="99"/>
      <c r="G311" s="99"/>
      <c r="H311" s="99"/>
      <c r="I311" s="176">
        <f t="shared" si="19"/>
        <v>150</v>
      </c>
      <c r="J311" s="84"/>
      <c r="K311" s="53">
        <f t="shared" si="20"/>
        <v>150</v>
      </c>
    </row>
    <row r="312" spans="1:11" ht="15" customHeight="1">
      <c r="A312" s="95"/>
      <c r="B312" s="116" t="s">
        <v>134</v>
      </c>
      <c r="C312" s="99"/>
      <c r="D312" s="99"/>
      <c r="E312" s="99">
        <v>370</v>
      </c>
      <c r="F312" s="99"/>
      <c r="G312" s="99"/>
      <c r="H312" s="99"/>
      <c r="I312" s="176">
        <f t="shared" si="19"/>
        <v>370</v>
      </c>
      <c r="J312" s="84"/>
      <c r="K312" s="53">
        <f t="shared" si="20"/>
        <v>370</v>
      </c>
    </row>
    <row r="313" spans="1:11" ht="19.5" customHeight="1">
      <c r="A313" s="95"/>
      <c r="B313" s="116" t="s">
        <v>159</v>
      </c>
      <c r="C313" s="99"/>
      <c r="D313" s="99"/>
      <c r="E313" s="99">
        <v>1500</v>
      </c>
      <c r="F313" s="99"/>
      <c r="G313" s="99"/>
      <c r="H313" s="99"/>
      <c r="I313" s="176">
        <f t="shared" si="19"/>
        <v>1500</v>
      </c>
      <c r="J313" s="95"/>
      <c r="K313" s="99">
        <f t="shared" si="20"/>
        <v>1500</v>
      </c>
    </row>
    <row r="314" spans="1:11" ht="15" customHeight="1">
      <c r="A314" s="95"/>
      <c r="B314" s="116" t="s">
        <v>557</v>
      </c>
      <c r="C314" s="99"/>
      <c r="D314" s="99"/>
      <c r="E314" s="99">
        <v>1800</v>
      </c>
      <c r="F314" s="99"/>
      <c r="G314" s="99"/>
      <c r="H314" s="99"/>
      <c r="I314" s="176">
        <f t="shared" si="19"/>
        <v>1800</v>
      </c>
      <c r="J314" s="95"/>
      <c r="K314" s="99">
        <f t="shared" si="20"/>
        <v>1800</v>
      </c>
    </row>
    <row r="315" spans="1:11" ht="33" customHeight="1">
      <c r="A315" s="96" t="s">
        <v>558</v>
      </c>
      <c r="B315" s="97" t="s">
        <v>559</v>
      </c>
      <c r="C315" s="98"/>
      <c r="D315" s="98"/>
      <c r="E315" s="98">
        <f>E316+E389</f>
        <v>2126086</v>
      </c>
      <c r="F315" s="98">
        <f>F316+F389</f>
        <v>25918</v>
      </c>
      <c r="G315" s="98"/>
      <c r="H315" s="98">
        <f>H316+H389</f>
        <v>0</v>
      </c>
      <c r="I315" s="175">
        <f>E315</f>
        <v>2126086</v>
      </c>
      <c r="J315" s="128">
        <f>F315+H315</f>
        <v>25918</v>
      </c>
      <c r="K315" s="98">
        <f t="shared" si="20"/>
        <v>2152004</v>
      </c>
    </row>
    <row r="316" spans="1:11" ht="30" customHeight="1">
      <c r="A316" s="96" t="s">
        <v>562</v>
      </c>
      <c r="B316" s="97" t="s">
        <v>563</v>
      </c>
      <c r="C316" s="98"/>
      <c r="D316" s="98"/>
      <c r="E316" s="98">
        <f>SUM(E317:E388)</f>
        <v>1340079</v>
      </c>
      <c r="F316" s="98">
        <f>SUM(F317:F388)</f>
        <v>25918</v>
      </c>
      <c r="G316" s="98"/>
      <c r="H316" s="98">
        <f>H388</f>
        <v>0</v>
      </c>
      <c r="I316" s="175">
        <f>E316</f>
        <v>1340079</v>
      </c>
      <c r="J316" s="98">
        <f>F316+H316</f>
        <v>25918</v>
      </c>
      <c r="K316" s="98">
        <f>I316+J316</f>
        <v>1365997</v>
      </c>
    </row>
    <row r="317" spans="1:11" ht="20.25" customHeight="1">
      <c r="A317" s="95"/>
      <c r="B317" s="94" t="s">
        <v>560</v>
      </c>
      <c r="C317" s="99"/>
      <c r="D317" s="99"/>
      <c r="E317" s="99">
        <v>7240</v>
      </c>
      <c r="F317" s="99"/>
      <c r="G317" s="99"/>
      <c r="H317" s="99"/>
      <c r="I317" s="176">
        <f t="shared" si="19"/>
        <v>7240</v>
      </c>
      <c r="J317" s="182"/>
      <c r="K317" s="99">
        <f t="shared" si="20"/>
        <v>7240</v>
      </c>
    </row>
    <row r="318" spans="1:11" ht="15" customHeight="1">
      <c r="A318" s="95"/>
      <c r="B318" s="114" t="s">
        <v>530</v>
      </c>
      <c r="C318" s="99"/>
      <c r="D318" s="99"/>
      <c r="E318" s="99">
        <v>4200</v>
      </c>
      <c r="F318" s="99"/>
      <c r="G318" s="99"/>
      <c r="H318" s="99"/>
      <c r="I318" s="176">
        <f t="shared" si="19"/>
        <v>4200</v>
      </c>
      <c r="J318" s="95"/>
      <c r="K318" s="99">
        <f t="shared" si="20"/>
        <v>4200</v>
      </c>
    </row>
    <row r="319" spans="1:11" ht="15" customHeight="1">
      <c r="A319" s="95"/>
      <c r="B319" s="114" t="s">
        <v>791</v>
      </c>
      <c r="C319" s="99"/>
      <c r="D319" s="99"/>
      <c r="E319" s="99">
        <f>226432+282536+217219</f>
        <v>726187</v>
      </c>
      <c r="F319" s="99"/>
      <c r="G319" s="99"/>
      <c r="H319" s="99"/>
      <c r="I319" s="176">
        <f t="shared" si="19"/>
        <v>726187</v>
      </c>
      <c r="J319" s="95"/>
      <c r="K319" s="99">
        <f t="shared" si="20"/>
        <v>726187</v>
      </c>
    </row>
    <row r="320" spans="1:11" ht="15" customHeight="1">
      <c r="A320" s="95"/>
      <c r="B320" s="114" t="s">
        <v>788</v>
      </c>
      <c r="C320" s="99"/>
      <c r="D320" s="99"/>
      <c r="E320" s="99">
        <v>365</v>
      </c>
      <c r="F320" s="99"/>
      <c r="G320" s="99"/>
      <c r="H320" s="99"/>
      <c r="I320" s="176">
        <f t="shared" si="19"/>
        <v>365</v>
      </c>
      <c r="J320" s="180"/>
      <c r="K320" s="53">
        <f t="shared" si="20"/>
        <v>365</v>
      </c>
    </row>
    <row r="321" spans="1:11" ht="15" customHeight="1">
      <c r="A321" s="95"/>
      <c r="B321" s="114" t="s">
        <v>790</v>
      </c>
      <c r="C321" s="99"/>
      <c r="D321" s="99"/>
      <c r="E321" s="99">
        <v>5500</v>
      </c>
      <c r="F321" s="99"/>
      <c r="G321" s="99"/>
      <c r="H321" s="99"/>
      <c r="I321" s="176">
        <f t="shared" si="19"/>
        <v>5500</v>
      </c>
      <c r="J321" s="84"/>
      <c r="K321" s="53">
        <f t="shared" si="20"/>
        <v>5500</v>
      </c>
    </row>
    <row r="322" spans="1:11" ht="15" customHeight="1">
      <c r="A322" s="95"/>
      <c r="B322" s="114" t="s">
        <v>48</v>
      </c>
      <c r="C322" s="99"/>
      <c r="D322" s="99"/>
      <c r="E322" s="99">
        <v>3000</v>
      </c>
      <c r="F322" s="99"/>
      <c r="G322" s="99"/>
      <c r="H322" s="99"/>
      <c r="I322" s="176">
        <f t="shared" si="19"/>
        <v>3000</v>
      </c>
      <c r="J322" s="84"/>
      <c r="K322" s="53">
        <f t="shared" si="20"/>
        <v>3000</v>
      </c>
    </row>
    <row r="323" spans="1:11" ht="15" customHeight="1">
      <c r="A323" s="95"/>
      <c r="B323" s="114" t="s">
        <v>737</v>
      </c>
      <c r="C323" s="99"/>
      <c r="D323" s="99"/>
      <c r="E323" s="99">
        <v>180</v>
      </c>
      <c r="F323" s="99"/>
      <c r="G323" s="99"/>
      <c r="H323" s="99"/>
      <c r="I323" s="176">
        <f t="shared" si="19"/>
        <v>180</v>
      </c>
      <c r="J323" s="84"/>
      <c r="K323" s="53">
        <f t="shared" si="20"/>
        <v>180</v>
      </c>
    </row>
    <row r="324" spans="1:11" ht="30" customHeight="1">
      <c r="A324" s="95"/>
      <c r="B324" s="114" t="s">
        <v>744</v>
      </c>
      <c r="C324" s="99"/>
      <c r="D324" s="99"/>
      <c r="E324" s="99">
        <v>950</v>
      </c>
      <c r="F324" s="99"/>
      <c r="G324" s="99"/>
      <c r="H324" s="99"/>
      <c r="I324" s="176">
        <f t="shared" si="19"/>
        <v>950</v>
      </c>
      <c r="J324" s="84"/>
      <c r="K324" s="53">
        <f t="shared" si="20"/>
        <v>950</v>
      </c>
    </row>
    <row r="325" spans="1:11" ht="30" customHeight="1">
      <c r="A325" s="95"/>
      <c r="B325" s="114" t="s">
        <v>794</v>
      </c>
      <c r="C325" s="99"/>
      <c r="D325" s="99"/>
      <c r="E325" s="99">
        <v>13500</v>
      </c>
      <c r="F325" s="99"/>
      <c r="G325" s="99"/>
      <c r="H325" s="99"/>
      <c r="I325" s="176">
        <f t="shared" si="19"/>
        <v>13500</v>
      </c>
      <c r="J325" s="84"/>
      <c r="K325" s="53">
        <f t="shared" si="20"/>
        <v>13500</v>
      </c>
    </row>
    <row r="326" spans="1:11" ht="26.25" customHeight="1">
      <c r="A326" s="95"/>
      <c r="B326" s="114" t="s">
        <v>793</v>
      </c>
      <c r="C326" s="99"/>
      <c r="D326" s="99"/>
      <c r="E326" s="99">
        <v>9100</v>
      </c>
      <c r="F326" s="99"/>
      <c r="G326" s="99"/>
      <c r="H326" s="99"/>
      <c r="I326" s="176">
        <f t="shared" si="19"/>
        <v>9100</v>
      </c>
      <c r="J326" s="84"/>
      <c r="K326" s="53">
        <f t="shared" si="20"/>
        <v>9100</v>
      </c>
    </row>
    <row r="327" spans="1:11" ht="15" customHeight="1">
      <c r="A327" s="95"/>
      <c r="B327" s="114" t="s">
        <v>792</v>
      </c>
      <c r="C327" s="99"/>
      <c r="D327" s="99"/>
      <c r="E327" s="99">
        <v>10600</v>
      </c>
      <c r="F327" s="99"/>
      <c r="G327" s="99"/>
      <c r="H327" s="99"/>
      <c r="I327" s="176">
        <f t="shared" si="19"/>
        <v>10600</v>
      </c>
      <c r="J327" s="84"/>
      <c r="K327" s="53">
        <f t="shared" si="20"/>
        <v>10600</v>
      </c>
    </row>
    <row r="328" spans="1:11" ht="15" customHeight="1">
      <c r="A328" s="95"/>
      <c r="B328" s="114" t="s">
        <v>769</v>
      </c>
      <c r="C328" s="99"/>
      <c r="D328" s="99"/>
      <c r="E328" s="99">
        <v>12000</v>
      </c>
      <c r="F328" s="99"/>
      <c r="G328" s="99"/>
      <c r="H328" s="99"/>
      <c r="I328" s="176">
        <f t="shared" si="19"/>
        <v>12000</v>
      </c>
      <c r="J328" s="84"/>
      <c r="K328" s="53">
        <f t="shared" si="20"/>
        <v>12000</v>
      </c>
    </row>
    <row r="329" spans="1:11" ht="34.5" customHeight="1">
      <c r="A329" s="95"/>
      <c r="B329" s="114" t="s">
        <v>5</v>
      </c>
      <c r="C329" s="99"/>
      <c r="D329" s="99"/>
      <c r="E329" s="99">
        <v>600</v>
      </c>
      <c r="F329" s="99"/>
      <c r="G329" s="99"/>
      <c r="H329" s="99"/>
      <c r="I329" s="176">
        <f t="shared" si="19"/>
        <v>600</v>
      </c>
      <c r="J329" s="84"/>
      <c r="K329" s="53">
        <f t="shared" si="20"/>
        <v>600</v>
      </c>
    </row>
    <row r="330" spans="1:11" ht="20.25" customHeight="1">
      <c r="A330" s="95"/>
      <c r="B330" s="116" t="s">
        <v>93</v>
      </c>
      <c r="C330" s="99"/>
      <c r="D330" s="99"/>
      <c r="E330" s="92">
        <v>700</v>
      </c>
      <c r="F330" s="92"/>
      <c r="G330" s="99"/>
      <c r="H330" s="99"/>
      <c r="I330" s="176">
        <f t="shared" si="19"/>
        <v>700</v>
      </c>
      <c r="J330" s="84"/>
      <c r="K330" s="53">
        <f t="shared" si="20"/>
        <v>700</v>
      </c>
    </row>
    <row r="331" spans="1:11" ht="20.25" customHeight="1">
      <c r="A331" s="95"/>
      <c r="B331" s="116" t="s">
        <v>155</v>
      </c>
      <c r="C331" s="99"/>
      <c r="D331" s="99"/>
      <c r="E331" s="92">
        <v>70</v>
      </c>
      <c r="F331" s="92"/>
      <c r="G331" s="99"/>
      <c r="H331" s="99"/>
      <c r="I331" s="176">
        <f t="shared" si="19"/>
        <v>70</v>
      </c>
      <c r="J331" s="84"/>
      <c r="K331" s="53">
        <f t="shared" si="20"/>
        <v>70</v>
      </c>
    </row>
    <row r="332" spans="1:11" ht="36" customHeight="1">
      <c r="A332" s="95"/>
      <c r="B332" s="114" t="s">
        <v>306</v>
      </c>
      <c r="C332" s="99"/>
      <c r="D332" s="99"/>
      <c r="E332" s="92">
        <v>450</v>
      </c>
      <c r="F332" s="92"/>
      <c r="G332" s="99"/>
      <c r="H332" s="99"/>
      <c r="I332" s="176"/>
      <c r="J332" s="84"/>
      <c r="K332" s="53">
        <f t="shared" si="20"/>
        <v>0</v>
      </c>
    </row>
    <row r="333" spans="1:11" ht="32.25" customHeight="1">
      <c r="A333" s="95"/>
      <c r="B333" s="114" t="s">
        <v>795</v>
      </c>
      <c r="C333" s="99"/>
      <c r="D333" s="99"/>
      <c r="E333" s="92">
        <v>2280</v>
      </c>
      <c r="F333" s="92"/>
      <c r="G333" s="99"/>
      <c r="H333" s="99"/>
      <c r="I333" s="176">
        <f t="shared" si="21" ref="I333:I364">E333</f>
        <v>2280</v>
      </c>
      <c r="J333" s="84"/>
      <c r="K333" s="53">
        <f t="shared" si="20"/>
        <v>2280</v>
      </c>
    </row>
    <row r="334" spans="1:11" ht="30.75" customHeight="1">
      <c r="A334" s="95"/>
      <c r="B334" s="114" t="s">
        <v>796</v>
      </c>
      <c r="C334" s="99"/>
      <c r="D334" s="99"/>
      <c r="E334" s="99">
        <v>56675</v>
      </c>
      <c r="F334" s="99"/>
      <c r="G334" s="99"/>
      <c r="H334" s="99"/>
      <c r="I334" s="176">
        <f t="shared" si="21"/>
        <v>56675</v>
      </c>
      <c r="J334" s="84"/>
      <c r="K334" s="53">
        <f t="shared" si="20"/>
        <v>56675</v>
      </c>
    </row>
    <row r="335" spans="1:11" ht="25.15" customHeight="1">
      <c r="A335" s="95"/>
      <c r="B335" s="114" t="s">
        <v>752</v>
      </c>
      <c r="C335" s="99"/>
      <c r="D335" s="99"/>
      <c r="E335" s="99">
        <v>2850</v>
      </c>
      <c r="F335" s="99"/>
      <c r="G335" s="99"/>
      <c r="H335" s="99"/>
      <c r="I335" s="176">
        <f t="shared" si="21"/>
        <v>2850</v>
      </c>
      <c r="J335" s="84"/>
      <c r="K335" s="53">
        <f t="shared" si="20"/>
        <v>2850</v>
      </c>
    </row>
    <row r="336" spans="1:11" ht="29.25" customHeight="1">
      <c r="A336" s="95"/>
      <c r="B336" s="114" t="s">
        <v>797</v>
      </c>
      <c r="C336" s="99"/>
      <c r="D336" s="99"/>
      <c r="E336" s="99">
        <v>2590</v>
      </c>
      <c r="F336" s="99"/>
      <c r="G336" s="99"/>
      <c r="H336" s="99"/>
      <c r="I336" s="176">
        <f t="shared" si="21"/>
        <v>2590</v>
      </c>
      <c r="J336" s="84"/>
      <c r="K336" s="53">
        <f t="shared" si="20"/>
        <v>2590</v>
      </c>
    </row>
    <row r="337" spans="1:11" ht="15.75" customHeight="1">
      <c r="A337" s="95"/>
      <c r="B337" s="114" t="s">
        <v>774</v>
      </c>
      <c r="C337" s="99"/>
      <c r="D337" s="99"/>
      <c r="E337" s="99">
        <v>10804</v>
      </c>
      <c r="F337" s="99"/>
      <c r="G337" s="99"/>
      <c r="H337" s="99"/>
      <c r="I337" s="176">
        <f t="shared" si="21"/>
        <v>10804</v>
      </c>
      <c r="J337" s="84"/>
      <c r="K337" s="53">
        <f t="shared" si="20"/>
        <v>10804</v>
      </c>
    </row>
    <row r="338" spans="1:11" ht="15" customHeight="1">
      <c r="A338" s="95"/>
      <c r="B338" s="114" t="s">
        <v>798</v>
      </c>
      <c r="C338" s="99"/>
      <c r="D338" s="99"/>
      <c r="E338" s="99">
        <v>1200</v>
      </c>
      <c r="F338" s="99"/>
      <c r="G338" s="99"/>
      <c r="H338" s="99"/>
      <c r="I338" s="176">
        <f t="shared" si="21"/>
        <v>1200</v>
      </c>
      <c r="J338" s="84"/>
      <c r="K338" s="53">
        <f t="shared" si="20"/>
        <v>1200</v>
      </c>
    </row>
    <row r="339" spans="1:11" ht="15" customHeight="1">
      <c r="A339" s="95"/>
      <c r="B339" s="114" t="s">
        <v>124</v>
      </c>
      <c r="C339" s="99"/>
      <c r="D339" s="99"/>
      <c r="E339" s="99">
        <v>900</v>
      </c>
      <c r="F339" s="99"/>
      <c r="G339" s="99"/>
      <c r="H339" s="99"/>
      <c r="I339" s="176">
        <f t="shared" si="21"/>
        <v>900</v>
      </c>
      <c r="J339" s="84"/>
      <c r="K339" s="53">
        <f t="shared" si="20"/>
        <v>900</v>
      </c>
    </row>
    <row r="340" spans="1:11" ht="15" customHeight="1">
      <c r="A340" s="95"/>
      <c r="B340" s="114" t="s">
        <v>564</v>
      </c>
      <c r="C340" s="99"/>
      <c r="D340" s="99"/>
      <c r="E340" s="99">
        <v>35161</v>
      </c>
      <c r="F340" s="99">
        <v>6600</v>
      </c>
      <c r="G340" s="99"/>
      <c r="H340" s="99"/>
      <c r="I340" s="176">
        <f t="shared" si="21"/>
        <v>35161</v>
      </c>
      <c r="J340" s="53">
        <f>F340</f>
        <v>6600</v>
      </c>
      <c r="K340" s="53">
        <f t="shared" si="20"/>
        <v>41761</v>
      </c>
    </row>
    <row r="341" spans="1:11" ht="15" customHeight="1">
      <c r="A341" s="95"/>
      <c r="B341" s="114" t="s">
        <v>565</v>
      </c>
      <c r="C341" s="99"/>
      <c r="D341" s="99"/>
      <c r="E341" s="99">
        <v>21857</v>
      </c>
      <c r="F341" s="99"/>
      <c r="G341" s="99"/>
      <c r="H341" s="99"/>
      <c r="I341" s="176">
        <f t="shared" si="21"/>
        <v>21857</v>
      </c>
      <c r="J341" s="84"/>
      <c r="K341" s="53">
        <f t="shared" si="20"/>
        <v>21857</v>
      </c>
    </row>
    <row r="342" spans="1:11" ht="15" customHeight="1">
      <c r="A342" s="95"/>
      <c r="B342" s="114" t="s">
        <v>566</v>
      </c>
      <c r="C342" s="99"/>
      <c r="D342" s="99"/>
      <c r="E342" s="99">
        <v>9000</v>
      </c>
      <c r="F342" s="99">
        <v>1300</v>
      </c>
      <c r="G342" s="99"/>
      <c r="H342" s="99"/>
      <c r="I342" s="176">
        <f t="shared" si="21"/>
        <v>9000</v>
      </c>
      <c r="J342" s="53">
        <f>F342</f>
        <v>1300</v>
      </c>
      <c r="K342" s="53">
        <f t="shared" si="20"/>
        <v>10300</v>
      </c>
    </row>
    <row r="343" spans="1:11" ht="15" customHeight="1">
      <c r="A343" s="95"/>
      <c r="B343" s="114" t="s">
        <v>567</v>
      </c>
      <c r="C343" s="99"/>
      <c r="D343" s="99"/>
      <c r="E343" s="99">
        <v>69000</v>
      </c>
      <c r="F343" s="99">
        <v>6700</v>
      </c>
      <c r="G343" s="99"/>
      <c r="H343" s="99"/>
      <c r="I343" s="176">
        <f t="shared" si="21"/>
        <v>69000</v>
      </c>
      <c r="J343" s="53">
        <f>F343</f>
        <v>6700</v>
      </c>
      <c r="K343" s="53">
        <f t="shared" si="20"/>
        <v>75700</v>
      </c>
    </row>
    <row r="344" spans="1:11" ht="15" customHeight="1">
      <c r="A344" s="95"/>
      <c r="B344" s="114" t="s">
        <v>337</v>
      </c>
      <c r="C344" s="99"/>
      <c r="D344" s="99"/>
      <c r="E344" s="99">
        <v>13500</v>
      </c>
      <c r="F344" s="99"/>
      <c r="G344" s="99"/>
      <c r="H344" s="99"/>
      <c r="I344" s="176">
        <f t="shared" si="21"/>
        <v>13500</v>
      </c>
      <c r="J344" s="84"/>
      <c r="K344" s="53">
        <f t="shared" si="20"/>
        <v>13500</v>
      </c>
    </row>
    <row r="345" spans="1:11" ht="15" customHeight="1">
      <c r="A345" s="95"/>
      <c r="B345" s="114" t="s">
        <v>256</v>
      </c>
      <c r="C345" s="99"/>
      <c r="D345" s="99"/>
      <c r="E345" s="99">
        <v>28967</v>
      </c>
      <c r="F345" s="99"/>
      <c r="G345" s="99"/>
      <c r="H345" s="99"/>
      <c r="I345" s="176">
        <f t="shared" si="21"/>
        <v>28967</v>
      </c>
      <c r="J345" s="84"/>
      <c r="K345" s="53">
        <f t="shared" si="20"/>
        <v>28967</v>
      </c>
    </row>
    <row r="346" spans="1:11" ht="15" customHeight="1">
      <c r="A346" s="95"/>
      <c r="B346" s="114" t="s">
        <v>568</v>
      </c>
      <c r="C346" s="99"/>
      <c r="D346" s="99"/>
      <c r="E346" s="99">
        <v>59000</v>
      </c>
      <c r="F346" s="99">
        <v>2929</v>
      </c>
      <c r="G346" s="99"/>
      <c r="H346" s="99"/>
      <c r="I346" s="176">
        <f t="shared" si="21"/>
        <v>59000</v>
      </c>
      <c r="J346" s="53">
        <f>F346</f>
        <v>2929</v>
      </c>
      <c r="K346" s="53">
        <f t="shared" si="20"/>
        <v>61929</v>
      </c>
    </row>
    <row r="347" spans="1:11" ht="15" customHeight="1">
      <c r="A347" s="95"/>
      <c r="B347" s="114" t="s">
        <v>569</v>
      </c>
      <c r="C347" s="99"/>
      <c r="D347" s="99"/>
      <c r="E347" s="99">
        <v>2840</v>
      </c>
      <c r="F347" s="99"/>
      <c r="G347" s="99"/>
      <c r="H347" s="99"/>
      <c r="I347" s="176">
        <f t="shared" si="21"/>
        <v>2840</v>
      </c>
      <c r="J347" s="84"/>
      <c r="K347" s="53">
        <f t="shared" si="20"/>
        <v>2840</v>
      </c>
    </row>
    <row r="348" spans="1:11" ht="15" customHeight="1">
      <c r="A348" s="95"/>
      <c r="B348" s="114" t="s">
        <v>570</v>
      </c>
      <c r="C348" s="99"/>
      <c r="D348" s="99"/>
      <c r="E348" s="99">
        <v>11605</v>
      </c>
      <c r="F348" s="99"/>
      <c r="G348" s="99"/>
      <c r="H348" s="99"/>
      <c r="I348" s="176">
        <f t="shared" si="21"/>
        <v>11605</v>
      </c>
      <c r="J348" s="84"/>
      <c r="K348" s="53">
        <f t="shared" si="20"/>
        <v>11605</v>
      </c>
    </row>
    <row r="349" spans="1:11" ht="15" customHeight="1">
      <c r="A349" s="95"/>
      <c r="B349" s="114" t="s">
        <v>707</v>
      </c>
      <c r="C349" s="99"/>
      <c r="D349" s="99"/>
      <c r="E349" s="92">
        <v>2500</v>
      </c>
      <c r="F349" s="92"/>
      <c r="G349" s="99"/>
      <c r="H349" s="99"/>
      <c r="I349" s="176">
        <f t="shared" si="21"/>
        <v>2500</v>
      </c>
      <c r="J349" s="84"/>
      <c r="K349" s="53">
        <f t="shared" si="20"/>
        <v>2500</v>
      </c>
    </row>
    <row r="350" spans="1:11" ht="15" customHeight="1">
      <c r="A350" s="95"/>
      <c r="B350" s="114" t="s">
        <v>571</v>
      </c>
      <c r="C350" s="99"/>
      <c r="D350" s="99"/>
      <c r="E350" s="99">
        <v>4268</v>
      </c>
      <c r="F350" s="99"/>
      <c r="G350" s="99"/>
      <c r="H350" s="99"/>
      <c r="I350" s="176">
        <f t="shared" si="21"/>
        <v>4268</v>
      </c>
      <c r="J350" s="84"/>
      <c r="K350" s="53">
        <f t="shared" si="20"/>
        <v>4268</v>
      </c>
    </row>
    <row r="351" spans="1:11" ht="15" customHeight="1">
      <c r="A351" s="95"/>
      <c r="B351" s="114" t="s">
        <v>708</v>
      </c>
      <c r="C351" s="99"/>
      <c r="D351" s="99"/>
      <c r="E351" s="99">
        <v>2391</v>
      </c>
      <c r="F351" s="99"/>
      <c r="G351" s="99"/>
      <c r="H351" s="99"/>
      <c r="I351" s="176">
        <f t="shared" si="21"/>
        <v>2391</v>
      </c>
      <c r="J351" s="84"/>
      <c r="K351" s="53">
        <f t="shared" si="20"/>
        <v>2391</v>
      </c>
    </row>
    <row r="352" spans="1:11" ht="15" customHeight="1">
      <c r="A352" s="95"/>
      <c r="B352" s="114" t="s">
        <v>572</v>
      </c>
      <c r="C352" s="99"/>
      <c r="D352" s="99"/>
      <c r="E352" s="99">
        <v>4516</v>
      </c>
      <c r="F352" s="99"/>
      <c r="G352" s="99"/>
      <c r="H352" s="99"/>
      <c r="I352" s="176">
        <f t="shared" si="21"/>
        <v>4516</v>
      </c>
      <c r="J352" s="84"/>
      <c r="K352" s="53">
        <f t="shared" si="20"/>
        <v>4516</v>
      </c>
    </row>
    <row r="353" spans="1:11" ht="15" customHeight="1">
      <c r="A353" s="95"/>
      <c r="B353" s="114" t="s">
        <v>573</v>
      </c>
      <c r="C353" s="99"/>
      <c r="D353" s="99"/>
      <c r="E353" s="99">
        <v>5348</v>
      </c>
      <c r="F353" s="99"/>
      <c r="G353" s="99"/>
      <c r="H353" s="99"/>
      <c r="I353" s="176">
        <f t="shared" si="21"/>
        <v>5348</v>
      </c>
      <c r="J353" s="84"/>
      <c r="K353" s="53">
        <f t="shared" si="20"/>
        <v>5348</v>
      </c>
    </row>
    <row r="354" spans="1:11" ht="15" customHeight="1">
      <c r="A354" s="95"/>
      <c r="B354" s="114" t="s">
        <v>574</v>
      </c>
      <c r="C354" s="99"/>
      <c r="D354" s="99"/>
      <c r="E354" s="99">
        <v>5000</v>
      </c>
      <c r="F354" s="99"/>
      <c r="G354" s="99"/>
      <c r="H354" s="99"/>
      <c r="I354" s="176">
        <f t="shared" si="21"/>
        <v>5000</v>
      </c>
      <c r="J354" s="84"/>
      <c r="K354" s="53">
        <f t="shared" si="20"/>
        <v>5000</v>
      </c>
    </row>
    <row r="355" spans="1:11" ht="15" customHeight="1">
      <c r="A355" s="95"/>
      <c r="B355" s="114" t="s">
        <v>575</v>
      </c>
      <c r="C355" s="99"/>
      <c r="D355" s="99"/>
      <c r="E355" s="99">
        <v>3422</v>
      </c>
      <c r="F355" s="99"/>
      <c r="G355" s="99"/>
      <c r="H355" s="99"/>
      <c r="I355" s="176">
        <f t="shared" si="21"/>
        <v>3422</v>
      </c>
      <c r="J355" s="84"/>
      <c r="K355" s="53">
        <f t="shared" si="20"/>
        <v>3422</v>
      </c>
    </row>
    <row r="356" spans="1:11" ht="15" customHeight="1">
      <c r="A356" s="95"/>
      <c r="B356" s="114" t="s">
        <v>709</v>
      </c>
      <c r="C356" s="99"/>
      <c r="D356" s="99"/>
      <c r="E356" s="99">
        <v>3193</v>
      </c>
      <c r="F356" s="99"/>
      <c r="G356" s="99"/>
      <c r="H356" s="99"/>
      <c r="I356" s="176">
        <f t="shared" si="21"/>
        <v>3193</v>
      </c>
      <c r="J356" s="84"/>
      <c r="K356" s="53">
        <f t="shared" si="20"/>
        <v>3193</v>
      </c>
    </row>
    <row r="357" spans="1:11" ht="15" customHeight="1">
      <c r="A357" s="95"/>
      <c r="B357" s="114" t="s">
        <v>107</v>
      </c>
      <c r="C357" s="99"/>
      <c r="D357" s="99"/>
      <c r="E357" s="99">
        <v>7036</v>
      </c>
      <c r="F357" s="99"/>
      <c r="G357" s="99"/>
      <c r="H357" s="99"/>
      <c r="I357" s="176">
        <f t="shared" si="21"/>
        <v>7036</v>
      </c>
      <c r="J357" s="84"/>
      <c r="K357" s="53">
        <f t="shared" si="20"/>
        <v>7036</v>
      </c>
    </row>
    <row r="358" spans="1:11" ht="15.75" customHeight="1">
      <c r="A358" s="95"/>
      <c r="B358" s="114" t="s">
        <v>112</v>
      </c>
      <c r="C358" s="99"/>
      <c r="D358" s="99"/>
      <c r="E358" s="99">
        <v>2127</v>
      </c>
      <c r="F358" s="99"/>
      <c r="G358" s="99"/>
      <c r="H358" s="99"/>
      <c r="I358" s="176">
        <f t="shared" si="21"/>
        <v>2127</v>
      </c>
      <c r="J358" s="84"/>
      <c r="K358" s="53">
        <f t="shared" si="20"/>
        <v>2127</v>
      </c>
    </row>
    <row r="359" spans="1:11" ht="19.5" customHeight="1">
      <c r="A359" s="95"/>
      <c r="B359" s="114" t="s">
        <v>111</v>
      </c>
      <c r="C359" s="99"/>
      <c r="D359" s="99"/>
      <c r="E359" s="99">
        <v>2977</v>
      </c>
      <c r="F359" s="99"/>
      <c r="G359" s="99"/>
      <c r="H359" s="99"/>
      <c r="I359" s="176">
        <f t="shared" si="21"/>
        <v>2977</v>
      </c>
      <c r="J359" s="84"/>
      <c r="K359" s="53">
        <f t="shared" si="20"/>
        <v>2977</v>
      </c>
    </row>
    <row r="360" spans="1:11" ht="18" customHeight="1">
      <c r="A360" s="95"/>
      <c r="B360" s="114" t="s">
        <v>576</v>
      </c>
      <c r="C360" s="99"/>
      <c r="D360" s="99"/>
      <c r="E360" s="99">
        <v>6650</v>
      </c>
      <c r="F360" s="99">
        <v>2300</v>
      </c>
      <c r="G360" s="99"/>
      <c r="H360" s="99"/>
      <c r="I360" s="176">
        <f t="shared" si="21"/>
        <v>6650</v>
      </c>
      <c r="J360" s="53">
        <f>F360</f>
        <v>2300</v>
      </c>
      <c r="K360" s="53">
        <f t="shared" si="20"/>
        <v>8950</v>
      </c>
    </row>
    <row r="361" spans="1:11" ht="30" customHeight="1">
      <c r="A361" s="95"/>
      <c r="B361" s="114" t="s">
        <v>257</v>
      </c>
      <c r="C361" s="99"/>
      <c r="D361" s="99"/>
      <c r="E361" s="99">
        <v>6463</v>
      </c>
      <c r="F361" s="99"/>
      <c r="G361" s="99"/>
      <c r="H361" s="99"/>
      <c r="I361" s="176">
        <f t="shared" si="21"/>
        <v>6463</v>
      </c>
      <c r="J361" s="84"/>
      <c r="K361" s="53">
        <f t="shared" si="20"/>
        <v>6463</v>
      </c>
    </row>
    <row r="362" spans="1:11" ht="30" customHeight="1">
      <c r="A362" s="95"/>
      <c r="B362" s="114" t="s">
        <v>710</v>
      </c>
      <c r="C362" s="99"/>
      <c r="D362" s="99"/>
      <c r="E362" s="99">
        <v>4189</v>
      </c>
      <c r="F362" s="99"/>
      <c r="G362" s="99"/>
      <c r="H362" s="99"/>
      <c r="I362" s="176">
        <f t="shared" si="21"/>
        <v>4189</v>
      </c>
      <c r="J362" s="84"/>
      <c r="K362" s="53">
        <f t="shared" si="20"/>
        <v>4189</v>
      </c>
    </row>
    <row r="363" spans="1:11" ht="30" customHeight="1">
      <c r="A363" s="95"/>
      <c r="B363" s="114" t="s">
        <v>109</v>
      </c>
      <c r="C363" s="99"/>
      <c r="D363" s="99"/>
      <c r="E363" s="99">
        <v>3605</v>
      </c>
      <c r="F363" s="99"/>
      <c r="G363" s="99"/>
      <c r="H363" s="99"/>
      <c r="I363" s="176">
        <f t="shared" si="21"/>
        <v>3605</v>
      </c>
      <c r="J363" s="84"/>
      <c r="K363" s="53">
        <f t="shared" si="20"/>
        <v>3605</v>
      </c>
    </row>
    <row r="364" spans="1:11" ht="30" customHeight="1">
      <c r="A364" s="95"/>
      <c r="B364" s="114" t="s">
        <v>577</v>
      </c>
      <c r="C364" s="99"/>
      <c r="D364" s="99"/>
      <c r="E364" s="99">
        <v>2400</v>
      </c>
      <c r="F364" s="99">
        <v>490</v>
      </c>
      <c r="G364" s="99"/>
      <c r="H364" s="99"/>
      <c r="I364" s="176">
        <f t="shared" si="21"/>
        <v>2400</v>
      </c>
      <c r="J364" s="53">
        <f>F364</f>
        <v>490</v>
      </c>
      <c r="K364" s="53">
        <f t="shared" si="20"/>
        <v>2890</v>
      </c>
    </row>
    <row r="365" spans="1:11" ht="30" customHeight="1">
      <c r="A365" s="95"/>
      <c r="B365" s="114" t="s">
        <v>104</v>
      </c>
      <c r="C365" s="99"/>
      <c r="D365" s="99"/>
      <c r="E365" s="99">
        <v>15900</v>
      </c>
      <c r="F365" s="99"/>
      <c r="G365" s="99"/>
      <c r="H365" s="99"/>
      <c r="I365" s="176">
        <f t="shared" si="22" ref="I365:I397">E365</f>
        <v>15900</v>
      </c>
      <c r="J365" s="84"/>
      <c r="K365" s="53">
        <f t="shared" si="23" ref="K365:K430">I365+J365</f>
        <v>15900</v>
      </c>
    </row>
    <row r="366" spans="1:11" ht="30" customHeight="1">
      <c r="A366" s="95"/>
      <c r="B366" s="114" t="s">
        <v>711</v>
      </c>
      <c r="C366" s="99"/>
      <c r="D366" s="99"/>
      <c r="E366" s="99">
        <v>2560</v>
      </c>
      <c r="F366" s="99"/>
      <c r="G366" s="99"/>
      <c r="H366" s="99"/>
      <c r="I366" s="176">
        <f t="shared" si="22"/>
        <v>2560</v>
      </c>
      <c r="J366" s="84"/>
      <c r="K366" s="53">
        <f t="shared" si="23"/>
        <v>2560</v>
      </c>
    </row>
    <row r="367" spans="1:11" ht="30" customHeight="1">
      <c r="A367" s="95"/>
      <c r="B367" s="114" t="s">
        <v>578</v>
      </c>
      <c r="C367" s="99"/>
      <c r="D367" s="99"/>
      <c r="E367" s="99">
        <v>8308</v>
      </c>
      <c r="F367" s="99">
        <v>2124</v>
      </c>
      <c r="G367" s="99"/>
      <c r="H367" s="99"/>
      <c r="I367" s="176">
        <f t="shared" si="22"/>
        <v>8308</v>
      </c>
      <c r="J367" s="53">
        <f>F367</f>
        <v>2124</v>
      </c>
      <c r="K367" s="53">
        <f t="shared" si="23"/>
        <v>10432</v>
      </c>
    </row>
    <row r="368" spans="1:11" ht="30" customHeight="1">
      <c r="A368" s="95"/>
      <c r="B368" s="114" t="s">
        <v>579</v>
      </c>
      <c r="C368" s="99"/>
      <c r="D368" s="99"/>
      <c r="E368" s="99">
        <v>7712</v>
      </c>
      <c r="F368" s="99"/>
      <c r="G368" s="99"/>
      <c r="H368" s="99"/>
      <c r="I368" s="176">
        <f t="shared" si="22"/>
        <v>7712</v>
      </c>
      <c r="J368" s="84"/>
      <c r="K368" s="53">
        <f t="shared" si="23"/>
        <v>7712</v>
      </c>
    </row>
    <row r="369" spans="1:11" ht="30" customHeight="1">
      <c r="A369" s="95"/>
      <c r="B369" s="114" t="s">
        <v>712</v>
      </c>
      <c r="C369" s="99"/>
      <c r="D369" s="99"/>
      <c r="E369" s="92">
        <v>2845</v>
      </c>
      <c r="F369" s="92"/>
      <c r="G369" s="99"/>
      <c r="H369" s="99"/>
      <c r="I369" s="176">
        <f t="shared" si="22"/>
        <v>2845</v>
      </c>
      <c r="J369" s="84"/>
      <c r="K369" s="53">
        <f t="shared" si="23"/>
        <v>2845</v>
      </c>
    </row>
    <row r="370" spans="1:11" ht="30" customHeight="1">
      <c r="A370" s="95"/>
      <c r="B370" s="114" t="s">
        <v>580</v>
      </c>
      <c r="C370" s="99"/>
      <c r="D370" s="99"/>
      <c r="E370" s="99">
        <v>4230</v>
      </c>
      <c r="F370" s="99"/>
      <c r="G370" s="99"/>
      <c r="H370" s="99"/>
      <c r="I370" s="176">
        <f t="shared" si="22"/>
        <v>4230</v>
      </c>
      <c r="J370" s="84"/>
      <c r="K370" s="53">
        <f t="shared" si="23"/>
        <v>4230</v>
      </c>
    </row>
    <row r="371" spans="1:11" ht="30" customHeight="1">
      <c r="A371" s="95"/>
      <c r="B371" s="114" t="s">
        <v>713</v>
      </c>
      <c r="C371" s="99"/>
      <c r="D371" s="99"/>
      <c r="E371" s="99">
        <v>3572</v>
      </c>
      <c r="F371" s="99"/>
      <c r="G371" s="99"/>
      <c r="H371" s="99"/>
      <c r="I371" s="176">
        <f t="shared" si="22"/>
        <v>3572</v>
      </c>
      <c r="J371" s="84"/>
      <c r="K371" s="53">
        <f t="shared" si="23"/>
        <v>3572</v>
      </c>
    </row>
    <row r="372" spans="1:11" ht="30" customHeight="1">
      <c r="A372" s="95"/>
      <c r="B372" s="114" t="s">
        <v>581</v>
      </c>
      <c r="C372" s="99"/>
      <c r="D372" s="99"/>
      <c r="E372" s="99">
        <v>6752</v>
      </c>
      <c r="F372" s="99"/>
      <c r="G372" s="99"/>
      <c r="H372" s="99"/>
      <c r="I372" s="176">
        <f t="shared" si="22"/>
        <v>6752</v>
      </c>
      <c r="J372" s="84"/>
      <c r="K372" s="53">
        <f t="shared" si="23"/>
        <v>6752</v>
      </c>
    </row>
    <row r="373" spans="1:11" ht="30" customHeight="1">
      <c r="A373" s="95"/>
      <c r="B373" s="114" t="s">
        <v>582</v>
      </c>
      <c r="C373" s="99"/>
      <c r="D373" s="99"/>
      <c r="E373" s="99">
        <v>4700</v>
      </c>
      <c r="F373" s="99"/>
      <c r="G373" s="99"/>
      <c r="H373" s="99"/>
      <c r="I373" s="176">
        <f t="shared" si="22"/>
        <v>4700</v>
      </c>
      <c r="J373" s="84"/>
      <c r="K373" s="53">
        <f t="shared" si="23"/>
        <v>4700</v>
      </c>
    </row>
    <row r="374" spans="1:11" ht="30" customHeight="1">
      <c r="A374" s="95"/>
      <c r="B374" s="114" t="s">
        <v>583</v>
      </c>
      <c r="C374" s="99"/>
      <c r="D374" s="99"/>
      <c r="E374" s="99">
        <v>2718</v>
      </c>
      <c r="F374" s="99"/>
      <c r="G374" s="99"/>
      <c r="H374" s="99"/>
      <c r="I374" s="176">
        <f t="shared" si="22"/>
        <v>2718</v>
      </c>
      <c r="J374" s="84"/>
      <c r="K374" s="53">
        <f t="shared" si="23"/>
        <v>2718</v>
      </c>
    </row>
    <row r="375" spans="1:11" ht="30" customHeight="1">
      <c r="A375" s="95"/>
      <c r="B375" s="114" t="s">
        <v>584</v>
      </c>
      <c r="C375" s="99"/>
      <c r="D375" s="99"/>
      <c r="E375" s="99">
        <v>8550</v>
      </c>
      <c r="F375" s="99"/>
      <c r="G375" s="99"/>
      <c r="H375" s="99"/>
      <c r="I375" s="176">
        <f t="shared" si="22"/>
        <v>8550</v>
      </c>
      <c r="J375" s="84"/>
      <c r="K375" s="53">
        <f t="shared" si="23"/>
        <v>8550</v>
      </c>
    </row>
    <row r="376" spans="1:11" ht="30" customHeight="1">
      <c r="A376" s="95"/>
      <c r="B376" s="114" t="s">
        <v>714</v>
      </c>
      <c r="C376" s="99"/>
      <c r="D376" s="99"/>
      <c r="E376" s="99">
        <v>1270</v>
      </c>
      <c r="F376" s="99"/>
      <c r="G376" s="99"/>
      <c r="H376" s="99"/>
      <c r="I376" s="176">
        <f t="shared" si="22"/>
        <v>1270</v>
      </c>
      <c r="J376" s="84"/>
      <c r="K376" s="53">
        <f t="shared" si="23"/>
        <v>1270</v>
      </c>
    </row>
    <row r="377" spans="1:11" ht="15" customHeight="1">
      <c r="A377" s="95"/>
      <c r="B377" s="114" t="s">
        <v>585</v>
      </c>
      <c r="C377" s="99"/>
      <c r="D377" s="99"/>
      <c r="E377" s="99">
        <v>6780</v>
      </c>
      <c r="F377" s="99"/>
      <c r="G377" s="99"/>
      <c r="H377" s="99"/>
      <c r="I377" s="176">
        <f t="shared" si="22"/>
        <v>6780</v>
      </c>
      <c r="J377" s="84"/>
      <c r="K377" s="53">
        <f t="shared" si="23"/>
        <v>6780</v>
      </c>
    </row>
    <row r="378" spans="1:12" s="86" customFormat="1" ht="15" customHeight="1">
      <c r="A378" s="95"/>
      <c r="B378" s="114" t="s">
        <v>586</v>
      </c>
      <c r="C378" s="99"/>
      <c r="D378" s="99"/>
      <c r="E378" s="99">
        <v>1010</v>
      </c>
      <c r="F378" s="99"/>
      <c r="G378" s="99"/>
      <c r="H378" s="99"/>
      <c r="I378" s="176">
        <f t="shared" si="22"/>
        <v>1010</v>
      </c>
      <c r="J378" s="84"/>
      <c r="K378" s="53">
        <f t="shared" si="23"/>
        <v>1010</v>
      </c>
      <c r="L378" s="74"/>
    </row>
    <row r="379" spans="1:12" ht="15" customHeight="1">
      <c r="A379" s="95"/>
      <c r="B379" s="114" t="s">
        <v>590</v>
      </c>
      <c r="C379" s="99"/>
      <c r="D379" s="99"/>
      <c r="E379" s="99">
        <v>6273</v>
      </c>
      <c r="F379" s="99"/>
      <c r="G379" s="99"/>
      <c r="H379" s="99"/>
      <c r="I379" s="176">
        <f t="shared" si="22"/>
        <v>6273</v>
      </c>
      <c r="J379" s="84"/>
      <c r="K379" s="53">
        <f t="shared" si="23"/>
        <v>6273</v>
      </c>
      <c r="L379" s="86"/>
    </row>
    <row r="380" spans="1:11" ht="15" customHeight="1">
      <c r="A380" s="95"/>
      <c r="B380" s="114" t="s">
        <v>587</v>
      </c>
      <c r="C380" s="99"/>
      <c r="D380" s="99"/>
      <c r="E380" s="99">
        <v>4286</v>
      </c>
      <c r="F380" s="99"/>
      <c r="G380" s="99"/>
      <c r="H380" s="99"/>
      <c r="I380" s="176">
        <f t="shared" si="22"/>
        <v>4286</v>
      </c>
      <c r="J380" s="84"/>
      <c r="K380" s="53">
        <f t="shared" si="23"/>
        <v>4286</v>
      </c>
    </row>
    <row r="381" spans="1:11" ht="15" customHeight="1">
      <c r="A381" s="95"/>
      <c r="B381" s="114" t="s">
        <v>588</v>
      </c>
      <c r="C381" s="99"/>
      <c r="D381" s="99"/>
      <c r="E381" s="99">
        <v>720</v>
      </c>
      <c r="F381" s="99"/>
      <c r="G381" s="99"/>
      <c r="H381" s="99"/>
      <c r="I381" s="176">
        <f t="shared" si="22"/>
        <v>720</v>
      </c>
      <c r="J381" s="84"/>
      <c r="K381" s="53">
        <f t="shared" si="23"/>
        <v>720</v>
      </c>
    </row>
    <row r="382" spans="1:11" ht="15" customHeight="1">
      <c r="A382" s="95"/>
      <c r="B382" s="114" t="s">
        <v>589</v>
      </c>
      <c r="C382" s="99"/>
      <c r="D382" s="99"/>
      <c r="E382" s="99">
        <v>2000</v>
      </c>
      <c r="F382" s="99"/>
      <c r="G382" s="99"/>
      <c r="H382" s="99"/>
      <c r="I382" s="176">
        <f t="shared" si="22"/>
        <v>2000</v>
      </c>
      <c r="J382" s="84"/>
      <c r="K382" s="53">
        <f t="shared" si="23"/>
        <v>2000</v>
      </c>
    </row>
    <row r="383" spans="1:11" ht="15" customHeight="1">
      <c r="A383" s="95"/>
      <c r="B383" s="114" t="s">
        <v>534</v>
      </c>
      <c r="C383" s="99"/>
      <c r="D383" s="99"/>
      <c r="E383" s="99">
        <v>17550</v>
      </c>
      <c r="F383" s="99"/>
      <c r="G383" s="99"/>
      <c r="H383" s="99"/>
      <c r="I383" s="176">
        <f t="shared" si="22"/>
        <v>17550</v>
      </c>
      <c r="J383" s="84"/>
      <c r="K383" s="53">
        <f t="shared" si="23"/>
        <v>17550</v>
      </c>
    </row>
    <row r="384" spans="1:11" ht="15" customHeight="1">
      <c r="A384" s="95"/>
      <c r="B384" s="114" t="s">
        <v>715</v>
      </c>
      <c r="C384" s="99"/>
      <c r="D384" s="99"/>
      <c r="E384" s="99">
        <v>6665</v>
      </c>
      <c r="F384" s="99"/>
      <c r="G384" s="99"/>
      <c r="H384" s="99"/>
      <c r="I384" s="176">
        <f t="shared" si="22"/>
        <v>6665</v>
      </c>
      <c r="J384" s="84"/>
      <c r="K384" s="53">
        <f t="shared" si="23"/>
        <v>6665</v>
      </c>
    </row>
    <row r="385" spans="1:11" ht="15" customHeight="1">
      <c r="A385" s="95"/>
      <c r="B385" s="114" t="s">
        <v>591</v>
      </c>
      <c r="C385" s="99"/>
      <c r="D385" s="99"/>
      <c r="E385" s="99">
        <v>7985</v>
      </c>
      <c r="F385" s="99"/>
      <c r="G385" s="99"/>
      <c r="H385" s="99"/>
      <c r="I385" s="176">
        <f t="shared" si="22"/>
        <v>7985</v>
      </c>
      <c r="J385" s="84"/>
      <c r="K385" s="53">
        <f t="shared" si="23"/>
        <v>7985</v>
      </c>
    </row>
    <row r="386" spans="1:11" ht="15" customHeight="1">
      <c r="A386" s="95"/>
      <c r="B386" s="114" t="s">
        <v>592</v>
      </c>
      <c r="C386" s="99"/>
      <c r="D386" s="99"/>
      <c r="E386" s="99">
        <v>3510</v>
      </c>
      <c r="F386" s="99"/>
      <c r="G386" s="99"/>
      <c r="H386" s="99"/>
      <c r="I386" s="176">
        <f t="shared" si="22"/>
        <v>3510</v>
      </c>
      <c r="J386" s="84"/>
      <c r="K386" s="53">
        <f t="shared" si="23"/>
        <v>3510</v>
      </c>
    </row>
    <row r="387" spans="1:11" ht="15" customHeight="1">
      <c r="A387" s="95"/>
      <c r="B387" s="114" t="s">
        <v>121</v>
      </c>
      <c r="C387" s="99"/>
      <c r="D387" s="99"/>
      <c r="E387" s="99">
        <v>7727</v>
      </c>
      <c r="F387" s="99"/>
      <c r="G387" s="99"/>
      <c r="H387" s="99"/>
      <c r="I387" s="176">
        <f t="shared" si="22"/>
        <v>7727</v>
      </c>
      <c r="J387" s="84"/>
      <c r="K387" s="53">
        <f t="shared" si="23"/>
        <v>7727</v>
      </c>
    </row>
    <row r="388" spans="1:11" ht="15" customHeight="1">
      <c r="A388" s="95"/>
      <c r="B388" s="114" t="s">
        <v>234</v>
      </c>
      <c r="C388" s="99"/>
      <c r="D388" s="99"/>
      <c r="E388" s="99">
        <v>17500</v>
      </c>
      <c r="F388" s="99">
        <v>3475</v>
      </c>
      <c r="G388" s="99"/>
      <c r="H388" s="99"/>
      <c r="I388" s="176">
        <f t="shared" si="22"/>
        <v>17500</v>
      </c>
      <c r="J388" s="53">
        <f>F388+H388</f>
        <v>3475</v>
      </c>
      <c r="K388" s="53">
        <f t="shared" si="23"/>
        <v>20975</v>
      </c>
    </row>
    <row r="389" spans="1:11" ht="15" customHeight="1">
      <c r="A389" s="96" t="s">
        <v>593</v>
      </c>
      <c r="B389" s="96" t="s">
        <v>594</v>
      </c>
      <c r="C389" s="98"/>
      <c r="D389" s="98"/>
      <c r="E389" s="98">
        <f>SUM(E390:E397)</f>
        <v>786007</v>
      </c>
      <c r="F389" s="98"/>
      <c r="G389" s="98"/>
      <c r="H389" s="98"/>
      <c r="I389" s="175">
        <f t="shared" si="22"/>
        <v>786007</v>
      </c>
      <c r="J389" s="83"/>
      <c r="K389" s="188">
        <f t="shared" si="23"/>
        <v>786007</v>
      </c>
    </row>
    <row r="390" spans="1:11" ht="15" customHeight="1">
      <c r="A390" s="95"/>
      <c r="B390" s="114" t="s">
        <v>561</v>
      </c>
      <c r="C390" s="99"/>
      <c r="D390" s="99"/>
      <c r="E390" s="92">
        <v>781492</v>
      </c>
      <c r="F390" s="92"/>
      <c r="G390" s="99"/>
      <c r="H390" s="99"/>
      <c r="I390" s="176">
        <f t="shared" si="22"/>
        <v>781492</v>
      </c>
      <c r="J390" s="84"/>
      <c r="K390" s="53">
        <f t="shared" si="23"/>
        <v>781492</v>
      </c>
    </row>
    <row r="391" spans="1:11" ht="15" customHeight="1">
      <c r="A391" s="95"/>
      <c r="B391" s="116" t="s">
        <v>21</v>
      </c>
      <c r="C391" s="99"/>
      <c r="D391" s="99"/>
      <c r="E391" s="92">
        <v>170</v>
      </c>
      <c r="F391" s="92"/>
      <c r="G391" s="99"/>
      <c r="H391" s="99"/>
      <c r="I391" s="176">
        <f t="shared" si="22"/>
        <v>170</v>
      </c>
      <c r="J391" s="84"/>
      <c r="K391" s="53">
        <f t="shared" si="23"/>
        <v>170</v>
      </c>
    </row>
    <row r="392" spans="1:11" ht="15" customHeight="1">
      <c r="A392" s="95"/>
      <c r="B392" s="114" t="s">
        <v>22</v>
      </c>
      <c r="C392" s="99"/>
      <c r="D392" s="99"/>
      <c r="E392" s="92">
        <v>941</v>
      </c>
      <c r="F392" s="92"/>
      <c r="G392" s="99"/>
      <c r="H392" s="99"/>
      <c r="I392" s="176">
        <f t="shared" si="22"/>
        <v>941</v>
      </c>
      <c r="J392" s="84"/>
      <c r="K392" s="53">
        <f t="shared" si="23"/>
        <v>941</v>
      </c>
    </row>
    <row r="393" spans="1:11" ht="15" customHeight="1">
      <c r="A393" s="95"/>
      <c r="B393" s="114" t="s">
        <v>24</v>
      </c>
      <c r="C393" s="99"/>
      <c r="D393" s="99"/>
      <c r="E393" s="92">
        <v>225</v>
      </c>
      <c r="F393" s="92"/>
      <c r="G393" s="99"/>
      <c r="H393" s="99"/>
      <c r="I393" s="176">
        <f t="shared" si="22"/>
        <v>225</v>
      </c>
      <c r="J393" s="84"/>
      <c r="K393" s="53">
        <f t="shared" si="23"/>
        <v>225</v>
      </c>
    </row>
    <row r="394" spans="1:11" ht="15" customHeight="1">
      <c r="A394" s="95"/>
      <c r="B394" s="114" t="s">
        <v>23</v>
      </c>
      <c r="C394" s="99"/>
      <c r="D394" s="99"/>
      <c r="E394" s="92">
        <v>2191</v>
      </c>
      <c r="F394" s="92"/>
      <c r="G394" s="99"/>
      <c r="H394" s="99"/>
      <c r="I394" s="176">
        <f t="shared" si="22"/>
        <v>2191</v>
      </c>
      <c r="J394" s="84"/>
      <c r="K394" s="53">
        <f t="shared" si="23"/>
        <v>2191</v>
      </c>
    </row>
    <row r="395" spans="1:11" ht="15" customHeight="1">
      <c r="A395" s="95"/>
      <c r="B395" s="114" t="s">
        <v>25</v>
      </c>
      <c r="C395" s="99"/>
      <c r="D395" s="99"/>
      <c r="E395" s="92">
        <v>295</v>
      </c>
      <c r="F395" s="92"/>
      <c r="G395" s="99"/>
      <c r="H395" s="99"/>
      <c r="I395" s="176">
        <f t="shared" si="22"/>
        <v>295</v>
      </c>
      <c r="J395" s="84"/>
      <c r="K395" s="53">
        <f t="shared" si="23"/>
        <v>295</v>
      </c>
    </row>
    <row r="396" spans="1:11" ht="15" customHeight="1">
      <c r="A396" s="95"/>
      <c r="B396" s="114" t="s">
        <v>26</v>
      </c>
      <c r="C396" s="99"/>
      <c r="D396" s="99"/>
      <c r="E396" s="92">
        <v>627</v>
      </c>
      <c r="F396" s="92"/>
      <c r="G396" s="99"/>
      <c r="H396" s="99"/>
      <c r="I396" s="176">
        <f t="shared" si="22"/>
        <v>627</v>
      </c>
      <c r="J396" s="84"/>
      <c r="K396" s="53">
        <f t="shared" si="23"/>
        <v>627</v>
      </c>
    </row>
    <row r="397" spans="1:11" ht="15" customHeight="1">
      <c r="A397" s="95"/>
      <c r="B397" s="114" t="s">
        <v>28</v>
      </c>
      <c r="C397" s="99"/>
      <c r="D397" s="99"/>
      <c r="E397" s="92">
        <v>66</v>
      </c>
      <c r="F397" s="92"/>
      <c r="G397" s="99"/>
      <c r="H397" s="99"/>
      <c r="I397" s="176">
        <f t="shared" si="22"/>
        <v>66</v>
      </c>
      <c r="J397" s="95"/>
      <c r="K397" s="99">
        <f t="shared" si="23"/>
        <v>66</v>
      </c>
    </row>
    <row r="398" spans="1:11" ht="54.75" customHeight="1">
      <c r="A398" s="96" t="s">
        <v>755</v>
      </c>
      <c r="B398" s="97" t="s">
        <v>756</v>
      </c>
      <c r="C398" s="99"/>
      <c r="D398" s="99"/>
      <c r="E398" s="98">
        <f>SUM(E399:E400)</f>
        <v>6094</v>
      </c>
      <c r="F398" s="98">
        <f>SUM(F399:F400)</f>
        <v>0</v>
      </c>
      <c r="G398" s="99"/>
      <c r="H398" s="98">
        <f>H399</f>
        <v>0</v>
      </c>
      <c r="I398" s="175">
        <f>SUM(I399:I400)</f>
        <v>6094</v>
      </c>
      <c r="J398" s="175">
        <f>SUM(J399:J400)</f>
        <v>0</v>
      </c>
      <c r="K398" s="98">
        <f>I398+J398</f>
        <v>6094</v>
      </c>
    </row>
    <row r="399" spans="1:11" ht="24.75" customHeight="1">
      <c r="A399" s="96"/>
      <c r="B399" s="125" t="s">
        <v>879</v>
      </c>
      <c r="C399" s="99"/>
      <c r="D399" s="99"/>
      <c r="E399" s="99">
        <v>3669</v>
      </c>
      <c r="F399" s="99"/>
      <c r="G399" s="99"/>
      <c r="H399" s="99"/>
      <c r="I399" s="176">
        <f>E399</f>
        <v>3669</v>
      </c>
      <c r="J399" s="99">
        <f>F399</f>
        <v>0</v>
      </c>
      <c r="K399" s="99">
        <f>I399+J399</f>
        <v>3669</v>
      </c>
    </row>
    <row r="400" spans="1:11" ht="26.25" customHeight="1">
      <c r="A400" s="96"/>
      <c r="B400" s="114" t="s">
        <v>757</v>
      </c>
      <c r="C400" s="99"/>
      <c r="D400" s="99"/>
      <c r="E400" s="99">
        <v>2425</v>
      </c>
      <c r="F400" s="99"/>
      <c r="G400" s="99"/>
      <c r="H400" s="99"/>
      <c r="I400" s="176">
        <f>E400</f>
        <v>2425</v>
      </c>
      <c r="J400" s="95"/>
      <c r="K400" s="99">
        <f>I400+J400</f>
        <v>2425</v>
      </c>
    </row>
    <row r="401" spans="1:12" s="87" customFormat="1" ht="15" customHeight="1">
      <c r="A401" s="96" t="s">
        <v>595</v>
      </c>
      <c r="B401" s="97" t="s">
        <v>596</v>
      </c>
      <c r="C401" s="98"/>
      <c r="D401" s="98"/>
      <c r="E401" s="98">
        <f>E402+E409+E410+E438</f>
        <v>337961</v>
      </c>
      <c r="F401" s="98">
        <f>F402+F409+F410+F438</f>
        <v>18851</v>
      </c>
      <c r="G401" s="98"/>
      <c r="H401" s="98"/>
      <c r="I401" s="175">
        <f t="shared" si="24" ref="I401:J431">E401</f>
        <v>337961</v>
      </c>
      <c r="J401" s="175">
        <f t="shared" si="24"/>
        <v>18851</v>
      </c>
      <c r="K401" s="98">
        <f t="shared" si="23"/>
        <v>356812</v>
      </c>
      <c r="L401" s="74"/>
    </row>
    <row r="402" spans="1:12" ht="15" customHeight="1">
      <c r="A402" s="96" t="s">
        <v>597</v>
      </c>
      <c r="B402" s="97" t="s">
        <v>598</v>
      </c>
      <c r="C402" s="98"/>
      <c r="D402" s="98"/>
      <c r="E402" s="98">
        <f>SUM(E403:E408)</f>
        <v>21419</v>
      </c>
      <c r="F402" s="98">
        <f>SUM(F403:F408)</f>
        <v>0</v>
      </c>
      <c r="G402" s="98"/>
      <c r="H402" s="98"/>
      <c r="I402" s="175">
        <f t="shared" si="24"/>
        <v>21419</v>
      </c>
      <c r="J402" s="175">
        <f t="shared" si="24"/>
        <v>0</v>
      </c>
      <c r="K402" s="98">
        <f t="shared" si="23"/>
        <v>21419</v>
      </c>
      <c r="L402" s="87"/>
    </row>
    <row r="403" spans="1:11" ht="15" customHeight="1">
      <c r="A403" s="95"/>
      <c r="B403" s="114" t="s">
        <v>83</v>
      </c>
      <c r="C403" s="99"/>
      <c r="D403" s="99"/>
      <c r="E403" s="99">
        <v>6047</v>
      </c>
      <c r="F403" s="99"/>
      <c r="G403" s="99"/>
      <c r="H403" s="99"/>
      <c r="I403" s="176">
        <f t="shared" si="24"/>
        <v>6047</v>
      </c>
      <c r="J403" s="178"/>
      <c r="K403" s="99">
        <f t="shared" si="23"/>
        <v>6047</v>
      </c>
    </row>
    <row r="404" spans="1:11" ht="15" customHeight="1">
      <c r="A404" s="95"/>
      <c r="B404" s="114" t="s">
        <v>173</v>
      </c>
      <c r="C404" s="99"/>
      <c r="D404" s="99"/>
      <c r="E404" s="99">
        <v>6156</v>
      </c>
      <c r="F404" s="99"/>
      <c r="G404" s="99"/>
      <c r="H404" s="99"/>
      <c r="I404" s="176">
        <f t="shared" si="24"/>
        <v>6156</v>
      </c>
      <c r="J404" s="95"/>
      <c r="K404" s="99">
        <f t="shared" si="23"/>
        <v>6156</v>
      </c>
    </row>
    <row r="405" spans="1:11" ht="15" customHeight="1">
      <c r="A405" s="95"/>
      <c r="B405" s="114" t="s">
        <v>234</v>
      </c>
      <c r="C405" s="99"/>
      <c r="D405" s="99"/>
      <c r="E405" s="99">
        <v>1688</v>
      </c>
      <c r="F405" s="99"/>
      <c r="G405" s="99"/>
      <c r="H405" s="99"/>
      <c r="I405" s="176">
        <f t="shared" si="24"/>
        <v>1688</v>
      </c>
      <c r="J405" s="95"/>
      <c r="K405" s="99">
        <f t="shared" si="23"/>
        <v>1688</v>
      </c>
    </row>
    <row r="406" spans="1:11" ht="16.5" customHeight="1">
      <c r="A406" s="95"/>
      <c r="B406" s="116" t="s">
        <v>167</v>
      </c>
      <c r="C406" s="99"/>
      <c r="D406" s="99"/>
      <c r="E406" s="99">
        <v>2550</v>
      </c>
      <c r="F406" s="99"/>
      <c r="G406" s="99"/>
      <c r="H406" s="99"/>
      <c r="I406" s="176">
        <f t="shared" si="24"/>
        <v>2550</v>
      </c>
      <c r="J406" s="84"/>
      <c r="K406" s="53">
        <f t="shared" si="23"/>
        <v>2550</v>
      </c>
    </row>
    <row r="407" spans="1:11" ht="15" customHeight="1">
      <c r="A407" s="95"/>
      <c r="B407" s="116" t="s">
        <v>162</v>
      </c>
      <c r="C407" s="99"/>
      <c r="D407" s="99"/>
      <c r="E407" s="99">
        <v>1560</v>
      </c>
      <c r="F407" s="99"/>
      <c r="G407" s="99"/>
      <c r="H407" s="99"/>
      <c r="I407" s="176">
        <f t="shared" si="24"/>
        <v>1560</v>
      </c>
      <c r="J407" s="84"/>
      <c r="K407" s="53">
        <f t="shared" si="23"/>
        <v>1560</v>
      </c>
    </row>
    <row r="408" spans="1:11" ht="15" customHeight="1">
      <c r="A408" s="95"/>
      <c r="B408" s="116" t="s">
        <v>175</v>
      </c>
      <c r="C408" s="99"/>
      <c r="D408" s="99"/>
      <c r="E408" s="99">
        <f>1660+1758</f>
        <v>3418</v>
      </c>
      <c r="F408" s="99"/>
      <c r="G408" s="99"/>
      <c r="H408" s="99"/>
      <c r="I408" s="176">
        <f t="shared" si="24"/>
        <v>3418</v>
      </c>
      <c r="J408" s="53"/>
      <c r="K408" s="53">
        <f t="shared" si="23"/>
        <v>3418</v>
      </c>
    </row>
    <row r="409" spans="1:11" ht="15" customHeight="1">
      <c r="A409" s="96" t="s">
        <v>599</v>
      </c>
      <c r="B409" s="167" t="s">
        <v>600</v>
      </c>
      <c r="C409" s="98"/>
      <c r="D409" s="98"/>
      <c r="E409" s="98">
        <v>75000</v>
      </c>
      <c r="F409" s="98">
        <v>17780</v>
      </c>
      <c r="G409" s="98"/>
      <c r="H409" s="98"/>
      <c r="I409" s="175">
        <f t="shared" si="24"/>
        <v>75000</v>
      </c>
      <c r="J409" s="53">
        <f>F409</f>
        <v>17780</v>
      </c>
      <c r="K409" s="188">
        <f t="shared" si="23"/>
        <v>92780</v>
      </c>
    </row>
    <row r="410" spans="1:11" ht="15" customHeight="1">
      <c r="A410" s="96" t="s">
        <v>601</v>
      </c>
      <c r="B410" s="96" t="s">
        <v>602</v>
      </c>
      <c r="C410" s="98"/>
      <c r="D410" s="98"/>
      <c r="E410" s="98">
        <f>SUM(E411:E437)</f>
        <v>190728</v>
      </c>
      <c r="F410" s="98">
        <f>SUM(F411:F437)</f>
        <v>1071</v>
      </c>
      <c r="G410" s="98"/>
      <c r="H410" s="98"/>
      <c r="I410" s="175">
        <f t="shared" si="24"/>
        <v>190728</v>
      </c>
      <c r="J410" s="175">
        <f t="shared" si="24"/>
        <v>1071</v>
      </c>
      <c r="K410" s="188">
        <f t="shared" si="23"/>
        <v>191799</v>
      </c>
    </row>
    <row r="411" spans="1:11" ht="15" customHeight="1">
      <c r="A411" s="95"/>
      <c r="B411" s="116" t="s">
        <v>189</v>
      </c>
      <c r="C411" s="99"/>
      <c r="D411" s="99"/>
      <c r="E411" s="99">
        <v>21000</v>
      </c>
      <c r="F411" s="99"/>
      <c r="G411" s="99"/>
      <c r="H411" s="99"/>
      <c r="I411" s="176">
        <f t="shared" si="24"/>
        <v>21000</v>
      </c>
      <c r="J411" s="180"/>
      <c r="K411" s="53">
        <f t="shared" si="23"/>
        <v>21000</v>
      </c>
    </row>
    <row r="412" spans="1:11" ht="15" customHeight="1">
      <c r="A412" s="95"/>
      <c r="B412" s="116" t="s">
        <v>15</v>
      </c>
      <c r="C412" s="99"/>
      <c r="D412" s="99"/>
      <c r="E412" s="99">
        <v>1200</v>
      </c>
      <c r="F412" s="99"/>
      <c r="G412" s="99"/>
      <c r="H412" s="99"/>
      <c r="I412" s="176">
        <f t="shared" si="24"/>
        <v>1200</v>
      </c>
      <c r="J412" s="84"/>
      <c r="K412" s="53">
        <f t="shared" si="23"/>
        <v>1200</v>
      </c>
    </row>
    <row r="413" spans="1:11" ht="15" customHeight="1">
      <c r="A413" s="95"/>
      <c r="B413" s="116" t="s">
        <v>603</v>
      </c>
      <c r="C413" s="99"/>
      <c r="D413" s="99"/>
      <c r="E413" s="99">
        <v>18500</v>
      </c>
      <c r="F413" s="99"/>
      <c r="G413" s="99"/>
      <c r="H413" s="99"/>
      <c r="I413" s="176">
        <f t="shared" si="24"/>
        <v>18500</v>
      </c>
      <c r="J413" s="84"/>
      <c r="K413" s="53">
        <f t="shared" si="23"/>
        <v>18500</v>
      </c>
    </row>
    <row r="414" spans="1:11" ht="15" customHeight="1">
      <c r="A414" s="95"/>
      <c r="B414" s="116" t="s">
        <v>561</v>
      </c>
      <c r="C414" s="99"/>
      <c r="D414" s="99"/>
      <c r="E414" s="99">
        <f>5186+95100+9380</f>
        <v>109666</v>
      </c>
      <c r="F414" s="99"/>
      <c r="G414" s="99"/>
      <c r="H414" s="99"/>
      <c r="I414" s="176">
        <f t="shared" si="24"/>
        <v>109666</v>
      </c>
      <c r="J414" s="84"/>
      <c r="K414" s="53">
        <f t="shared" si="23"/>
        <v>109666</v>
      </c>
    </row>
    <row r="415" spans="1:11" ht="15" customHeight="1">
      <c r="A415" s="95"/>
      <c r="B415" s="117" t="s">
        <v>799</v>
      </c>
      <c r="C415" s="99"/>
      <c r="D415" s="99"/>
      <c r="E415" s="99">
        <v>600</v>
      </c>
      <c r="F415" s="99"/>
      <c r="G415" s="99"/>
      <c r="H415" s="99"/>
      <c r="I415" s="176">
        <f t="shared" si="24"/>
        <v>600</v>
      </c>
      <c r="J415" s="84"/>
      <c r="K415" s="53">
        <f t="shared" si="23"/>
        <v>600</v>
      </c>
    </row>
    <row r="416" spans="1:11" ht="19.5" customHeight="1">
      <c r="A416" s="95"/>
      <c r="B416" s="114" t="s">
        <v>821</v>
      </c>
      <c r="C416" s="99"/>
      <c r="D416" s="99"/>
      <c r="E416" s="99">
        <v>1510</v>
      </c>
      <c r="F416" s="99"/>
      <c r="G416" s="99"/>
      <c r="H416" s="99"/>
      <c r="I416" s="176">
        <f t="shared" si="24"/>
        <v>1510</v>
      </c>
      <c r="J416" s="84"/>
      <c r="K416" s="53">
        <f t="shared" si="23"/>
        <v>1510</v>
      </c>
    </row>
    <row r="417" spans="1:11" ht="15" customHeight="1">
      <c r="A417" s="95"/>
      <c r="B417" s="116" t="s">
        <v>687</v>
      </c>
      <c r="C417" s="99"/>
      <c r="D417" s="99"/>
      <c r="E417" s="99">
        <v>367</v>
      </c>
      <c r="F417" s="99"/>
      <c r="G417" s="99"/>
      <c r="H417" s="99"/>
      <c r="I417" s="176">
        <f t="shared" si="24"/>
        <v>367</v>
      </c>
      <c r="J417" s="84"/>
      <c r="K417" s="53">
        <f t="shared" si="23"/>
        <v>367</v>
      </c>
    </row>
    <row r="418" spans="1:11" ht="15" customHeight="1">
      <c r="A418" s="95"/>
      <c r="B418" s="117" t="s">
        <v>171</v>
      </c>
      <c r="C418" s="99"/>
      <c r="D418" s="99"/>
      <c r="E418" s="99">
        <v>600</v>
      </c>
      <c r="F418" s="99"/>
      <c r="G418" s="99"/>
      <c r="H418" s="99"/>
      <c r="I418" s="176">
        <f t="shared" si="24"/>
        <v>600</v>
      </c>
      <c r="J418" s="84"/>
      <c r="K418" s="53">
        <f t="shared" si="23"/>
        <v>600</v>
      </c>
    </row>
    <row r="419" spans="1:11" ht="21.75" customHeight="1">
      <c r="A419" s="95"/>
      <c r="B419" s="116" t="s">
        <v>769</v>
      </c>
      <c r="C419" s="99"/>
      <c r="D419" s="99"/>
      <c r="E419" s="99">
        <v>1500</v>
      </c>
      <c r="F419" s="99"/>
      <c r="G419" s="99"/>
      <c r="H419" s="99"/>
      <c r="I419" s="176">
        <f t="shared" si="24"/>
        <v>1500</v>
      </c>
      <c r="J419" s="84"/>
      <c r="K419" s="53">
        <f t="shared" si="23"/>
        <v>1500</v>
      </c>
    </row>
    <row r="420" spans="1:11" ht="30" customHeight="1">
      <c r="A420" s="95"/>
      <c r="B420" s="116" t="s">
        <v>800</v>
      </c>
      <c r="C420" s="99"/>
      <c r="D420" s="99"/>
      <c r="E420" s="99">
        <v>1800</v>
      </c>
      <c r="F420" s="99">
        <v>1071</v>
      </c>
      <c r="G420" s="99"/>
      <c r="H420" s="99"/>
      <c r="I420" s="176">
        <f t="shared" si="24"/>
        <v>1800</v>
      </c>
      <c r="J420" s="53">
        <f>F420</f>
        <v>1071</v>
      </c>
      <c r="K420" s="53">
        <f t="shared" si="23"/>
        <v>2871</v>
      </c>
    </row>
    <row r="421" spans="1:11" ht="30" customHeight="1">
      <c r="A421" s="95"/>
      <c r="B421" s="114" t="s">
        <v>801</v>
      </c>
      <c r="C421" s="99"/>
      <c r="D421" s="99"/>
      <c r="E421" s="99">
        <v>400</v>
      </c>
      <c r="F421" s="99"/>
      <c r="G421" s="99"/>
      <c r="H421" s="99"/>
      <c r="I421" s="176">
        <f t="shared" si="24"/>
        <v>400</v>
      </c>
      <c r="J421" s="84"/>
      <c r="K421" s="53">
        <f t="shared" si="23"/>
        <v>400</v>
      </c>
    </row>
    <row r="422" spans="1:11" ht="30" customHeight="1">
      <c r="A422" s="95"/>
      <c r="B422" s="114" t="s">
        <v>321</v>
      </c>
      <c r="C422" s="99"/>
      <c r="D422" s="99"/>
      <c r="E422" s="99">
        <v>1800</v>
      </c>
      <c r="F422" s="99"/>
      <c r="G422" s="99"/>
      <c r="H422" s="99"/>
      <c r="I422" s="176">
        <f t="shared" si="24"/>
        <v>1800</v>
      </c>
      <c r="J422" s="84"/>
      <c r="K422" s="53">
        <f t="shared" si="23"/>
        <v>1800</v>
      </c>
    </row>
    <row r="423" spans="1:11" ht="30" customHeight="1">
      <c r="A423" s="95"/>
      <c r="B423" s="117" t="s">
        <v>790</v>
      </c>
      <c r="C423" s="99"/>
      <c r="D423" s="99"/>
      <c r="E423" s="99">
        <v>100</v>
      </c>
      <c r="F423" s="99"/>
      <c r="G423" s="99"/>
      <c r="H423" s="99"/>
      <c r="I423" s="176">
        <f t="shared" si="24"/>
        <v>100</v>
      </c>
      <c r="J423" s="84"/>
      <c r="K423" s="53">
        <f t="shared" si="23"/>
        <v>100</v>
      </c>
    </row>
    <row r="424" spans="1:11" ht="30" customHeight="1">
      <c r="A424" s="95"/>
      <c r="B424" s="116" t="s">
        <v>810</v>
      </c>
      <c r="C424" s="99"/>
      <c r="D424" s="99"/>
      <c r="E424" s="99">
        <v>200</v>
      </c>
      <c r="F424" s="99"/>
      <c r="G424" s="99"/>
      <c r="H424" s="99"/>
      <c r="I424" s="176">
        <f t="shared" si="24"/>
        <v>200</v>
      </c>
      <c r="J424" s="84"/>
      <c r="K424" s="53">
        <f t="shared" si="23"/>
        <v>200</v>
      </c>
    </row>
    <row r="425" spans="1:11" ht="30" customHeight="1">
      <c r="A425" s="95"/>
      <c r="B425" s="117" t="s">
        <v>809</v>
      </c>
      <c r="C425" s="99"/>
      <c r="D425" s="99"/>
      <c r="E425" s="92">
        <v>1000</v>
      </c>
      <c r="F425" s="92"/>
      <c r="G425" s="99"/>
      <c r="H425" s="99"/>
      <c r="I425" s="176">
        <f t="shared" si="24"/>
        <v>1000</v>
      </c>
      <c r="J425" s="84"/>
      <c r="K425" s="53">
        <f t="shared" si="23"/>
        <v>1000</v>
      </c>
    </row>
    <row r="426" spans="1:11" ht="30" customHeight="1">
      <c r="A426" s="95"/>
      <c r="B426" s="117" t="s">
        <v>808</v>
      </c>
      <c r="C426" s="99"/>
      <c r="D426" s="99"/>
      <c r="E426" s="99">
        <f>5000+500</f>
        <v>5500</v>
      </c>
      <c r="F426" s="99"/>
      <c r="G426" s="99"/>
      <c r="H426" s="99"/>
      <c r="I426" s="176">
        <f t="shared" si="24"/>
        <v>5500</v>
      </c>
      <c r="J426" s="84"/>
      <c r="K426" s="53">
        <f t="shared" si="23"/>
        <v>5500</v>
      </c>
    </row>
    <row r="427" spans="1:11" ht="30" customHeight="1">
      <c r="A427" s="95"/>
      <c r="B427" s="117" t="s">
        <v>802</v>
      </c>
      <c r="C427" s="99"/>
      <c r="D427" s="99"/>
      <c r="E427" s="99">
        <v>1300</v>
      </c>
      <c r="F427" s="99"/>
      <c r="G427" s="99"/>
      <c r="H427" s="99"/>
      <c r="I427" s="176">
        <f t="shared" si="24"/>
        <v>1300</v>
      </c>
      <c r="J427" s="84"/>
      <c r="K427" s="53">
        <f t="shared" si="23"/>
        <v>1300</v>
      </c>
    </row>
    <row r="428" spans="1:11" ht="15" customHeight="1">
      <c r="A428" s="95"/>
      <c r="B428" s="114" t="s">
        <v>700</v>
      </c>
      <c r="C428" s="99"/>
      <c r="D428" s="99"/>
      <c r="E428" s="99">
        <v>300</v>
      </c>
      <c r="F428" s="99"/>
      <c r="G428" s="99"/>
      <c r="H428" s="99"/>
      <c r="I428" s="176">
        <f t="shared" si="24"/>
        <v>300</v>
      </c>
      <c r="J428" s="84"/>
      <c r="K428" s="53">
        <f t="shared" si="23"/>
        <v>300</v>
      </c>
    </row>
    <row r="429" spans="1:11" ht="20.25" customHeight="1">
      <c r="A429" s="95"/>
      <c r="B429" s="114" t="s">
        <v>84</v>
      </c>
      <c r="C429" s="99"/>
      <c r="D429" s="99"/>
      <c r="E429" s="99">
        <v>8691</v>
      </c>
      <c r="F429" s="99"/>
      <c r="G429" s="99"/>
      <c r="H429" s="99"/>
      <c r="I429" s="176">
        <f t="shared" si="24"/>
        <v>8691</v>
      </c>
      <c r="J429" s="84"/>
      <c r="K429" s="53">
        <f t="shared" si="23"/>
        <v>8691</v>
      </c>
    </row>
    <row r="430" spans="1:11" ht="30.75" customHeight="1">
      <c r="A430" s="95"/>
      <c r="B430" s="114" t="s">
        <v>803</v>
      </c>
      <c r="C430" s="99"/>
      <c r="D430" s="99"/>
      <c r="E430" s="99">
        <v>200</v>
      </c>
      <c r="F430" s="99"/>
      <c r="G430" s="99"/>
      <c r="H430" s="99"/>
      <c r="I430" s="176">
        <f t="shared" si="24"/>
        <v>200</v>
      </c>
      <c r="J430" s="84"/>
      <c r="K430" s="53">
        <f t="shared" si="23"/>
        <v>200</v>
      </c>
    </row>
    <row r="431" spans="1:11" ht="28.5" customHeight="1">
      <c r="A431" s="95"/>
      <c r="B431" s="114" t="s">
        <v>804</v>
      </c>
      <c r="C431" s="99"/>
      <c r="D431" s="99"/>
      <c r="E431" s="99">
        <v>900</v>
      </c>
      <c r="F431" s="99"/>
      <c r="G431" s="99"/>
      <c r="H431" s="99"/>
      <c r="I431" s="176">
        <f t="shared" si="24"/>
        <v>900</v>
      </c>
      <c r="J431" s="84"/>
      <c r="K431" s="53">
        <f t="shared" si="25" ref="K431:K462">I431+J431</f>
        <v>900</v>
      </c>
    </row>
    <row r="432" spans="1:11" ht="33" customHeight="1">
      <c r="A432" s="95"/>
      <c r="B432" s="114" t="s">
        <v>805</v>
      </c>
      <c r="C432" s="99"/>
      <c r="D432" s="99"/>
      <c r="E432" s="99">
        <v>300</v>
      </c>
      <c r="F432" s="99"/>
      <c r="G432" s="99"/>
      <c r="H432" s="99"/>
      <c r="I432" s="176">
        <f t="shared" si="26" ref="I432:I459">E432</f>
        <v>300</v>
      </c>
      <c r="J432" s="84"/>
      <c r="K432" s="53">
        <f t="shared" si="25"/>
        <v>300</v>
      </c>
    </row>
    <row r="433" spans="1:11" ht="15" customHeight="1">
      <c r="A433" s="95"/>
      <c r="B433" s="114" t="s">
        <v>703</v>
      </c>
      <c r="C433" s="99"/>
      <c r="D433" s="99"/>
      <c r="E433" s="99">
        <v>1000</v>
      </c>
      <c r="F433" s="99"/>
      <c r="G433" s="99"/>
      <c r="H433" s="99"/>
      <c r="I433" s="176">
        <f t="shared" si="26"/>
        <v>1000</v>
      </c>
      <c r="J433" s="84"/>
      <c r="K433" s="53">
        <f t="shared" si="25"/>
        <v>1000</v>
      </c>
    </row>
    <row r="434" spans="1:11" ht="15" customHeight="1">
      <c r="A434" s="95"/>
      <c r="B434" s="114" t="s">
        <v>175</v>
      </c>
      <c r="C434" s="99"/>
      <c r="D434" s="99"/>
      <c r="E434" s="92">
        <f>1000+8494</f>
        <v>9494</v>
      </c>
      <c r="F434" s="92"/>
      <c r="G434" s="99"/>
      <c r="H434" s="99"/>
      <c r="I434" s="176">
        <f t="shared" si="26"/>
        <v>9494</v>
      </c>
      <c r="J434" s="53">
        <f>F434</f>
        <v>0</v>
      </c>
      <c r="K434" s="53">
        <f t="shared" si="25"/>
        <v>9494</v>
      </c>
    </row>
    <row r="435" spans="1:11" ht="15.75">
      <c r="A435" s="95"/>
      <c r="B435" s="117" t="s">
        <v>806</v>
      </c>
      <c r="C435" s="99"/>
      <c r="D435" s="99"/>
      <c r="E435" s="99">
        <v>1000</v>
      </c>
      <c r="F435" s="99"/>
      <c r="G435" s="99"/>
      <c r="H435" s="99"/>
      <c r="I435" s="176">
        <f t="shared" si="26"/>
        <v>1000</v>
      </c>
      <c r="J435" s="84"/>
      <c r="K435" s="53">
        <f t="shared" si="25"/>
        <v>1000</v>
      </c>
    </row>
    <row r="436" spans="1:11" ht="33.6" customHeight="1">
      <c r="A436" s="95"/>
      <c r="B436" s="114" t="s">
        <v>807</v>
      </c>
      <c r="C436" s="99"/>
      <c r="D436" s="99"/>
      <c r="E436" s="99">
        <v>1400</v>
      </c>
      <c r="F436" s="99"/>
      <c r="G436" s="99"/>
      <c r="H436" s="99"/>
      <c r="I436" s="176">
        <f t="shared" si="26"/>
        <v>1400</v>
      </c>
      <c r="J436" s="84"/>
      <c r="K436" s="53">
        <f t="shared" si="25"/>
        <v>1400</v>
      </c>
    </row>
    <row r="437" spans="1:11" ht="30.6" customHeight="1">
      <c r="A437" s="95"/>
      <c r="B437" s="114" t="s">
        <v>780</v>
      </c>
      <c r="C437" s="99"/>
      <c r="D437" s="99"/>
      <c r="E437" s="92">
        <v>400</v>
      </c>
      <c r="F437" s="92"/>
      <c r="G437" s="99"/>
      <c r="H437" s="99"/>
      <c r="I437" s="176">
        <f t="shared" si="26"/>
        <v>400</v>
      </c>
      <c r="J437" s="95"/>
      <c r="K437" s="99">
        <f t="shared" si="25"/>
        <v>400</v>
      </c>
    </row>
    <row r="438" spans="1:11" ht="15" customHeight="1">
      <c r="A438" s="96" t="s">
        <v>604</v>
      </c>
      <c r="B438" s="96" t="s">
        <v>605</v>
      </c>
      <c r="C438" s="98"/>
      <c r="D438" s="98"/>
      <c r="E438" s="98">
        <f>SUM(E439:E459)</f>
        <v>50814</v>
      </c>
      <c r="F438" s="98">
        <f>SUM(F439:F459)</f>
        <v>0</v>
      </c>
      <c r="G438" s="98"/>
      <c r="H438" s="98"/>
      <c r="I438" s="175">
        <f t="shared" si="26"/>
        <v>50814</v>
      </c>
      <c r="J438" s="175">
        <f>F438</f>
        <v>0</v>
      </c>
      <c r="K438" s="98">
        <f t="shared" si="25"/>
        <v>50814</v>
      </c>
    </row>
    <row r="439" spans="1:11" ht="15" customHeight="1">
      <c r="A439" s="95"/>
      <c r="B439" s="116" t="s">
        <v>43</v>
      </c>
      <c r="C439" s="99"/>
      <c r="D439" s="99"/>
      <c r="E439" s="99">
        <v>2200</v>
      </c>
      <c r="F439" s="99"/>
      <c r="G439" s="99"/>
      <c r="H439" s="99"/>
      <c r="I439" s="176">
        <f t="shared" si="26"/>
        <v>2200</v>
      </c>
      <c r="J439" s="95"/>
      <c r="K439" s="99">
        <f t="shared" si="25"/>
        <v>2200</v>
      </c>
    </row>
    <row r="440" spans="1:11" ht="15" customHeight="1">
      <c r="A440" s="95"/>
      <c r="B440" s="116" t="s">
        <v>44</v>
      </c>
      <c r="C440" s="99"/>
      <c r="D440" s="99"/>
      <c r="E440" s="99">
        <v>3000</v>
      </c>
      <c r="F440" s="99"/>
      <c r="G440" s="99"/>
      <c r="H440" s="99"/>
      <c r="I440" s="176">
        <f t="shared" si="26"/>
        <v>3000</v>
      </c>
      <c r="J440" s="95"/>
      <c r="K440" s="99">
        <f t="shared" si="25"/>
        <v>3000</v>
      </c>
    </row>
    <row r="441" spans="1:11" ht="15" customHeight="1">
      <c r="A441" s="95"/>
      <c r="B441" s="116" t="s">
        <v>689</v>
      </c>
      <c r="C441" s="99"/>
      <c r="D441" s="99"/>
      <c r="E441" s="99">
        <v>1875</v>
      </c>
      <c r="F441" s="99"/>
      <c r="G441" s="99"/>
      <c r="H441" s="99"/>
      <c r="I441" s="176">
        <f t="shared" si="26"/>
        <v>1875</v>
      </c>
      <c r="J441" s="95"/>
      <c r="K441" s="99">
        <f t="shared" si="25"/>
        <v>1875</v>
      </c>
    </row>
    <row r="442" spans="1:11" ht="15" customHeight="1">
      <c r="A442" s="95"/>
      <c r="B442" s="116" t="s">
        <v>606</v>
      </c>
      <c r="C442" s="99"/>
      <c r="D442" s="99"/>
      <c r="E442" s="99">
        <v>1200</v>
      </c>
      <c r="F442" s="99"/>
      <c r="G442" s="99"/>
      <c r="H442" s="99"/>
      <c r="I442" s="176">
        <f t="shared" si="26"/>
        <v>1200</v>
      </c>
      <c r="J442" s="95"/>
      <c r="K442" s="99">
        <f t="shared" si="25"/>
        <v>1200</v>
      </c>
    </row>
    <row r="443" spans="1:11" ht="15" customHeight="1">
      <c r="A443" s="95"/>
      <c r="B443" s="116" t="s">
        <v>519</v>
      </c>
      <c r="C443" s="99"/>
      <c r="D443" s="99"/>
      <c r="E443" s="99">
        <v>550</v>
      </c>
      <c r="F443" s="99"/>
      <c r="G443" s="99"/>
      <c r="H443" s="99"/>
      <c r="I443" s="176">
        <f t="shared" si="26"/>
        <v>550</v>
      </c>
      <c r="J443" s="84"/>
      <c r="K443" s="53">
        <f t="shared" si="25"/>
        <v>550</v>
      </c>
    </row>
    <row r="444" spans="1:11" ht="15" customHeight="1">
      <c r="A444" s="95"/>
      <c r="B444" s="116" t="s">
        <v>520</v>
      </c>
      <c r="C444" s="99"/>
      <c r="D444" s="99"/>
      <c r="E444" s="99">
        <v>1300</v>
      </c>
      <c r="F444" s="99"/>
      <c r="G444" s="99"/>
      <c r="H444" s="99"/>
      <c r="I444" s="176">
        <f t="shared" si="26"/>
        <v>1300</v>
      </c>
      <c r="J444" s="84"/>
      <c r="K444" s="53">
        <f t="shared" si="25"/>
        <v>1300</v>
      </c>
    </row>
    <row r="445" spans="1:11" ht="15" customHeight="1">
      <c r="A445" s="95"/>
      <c r="B445" s="116" t="s">
        <v>173</v>
      </c>
      <c r="C445" s="99"/>
      <c r="D445" s="99"/>
      <c r="E445" s="99">
        <v>1318</v>
      </c>
      <c r="F445" s="99"/>
      <c r="G445" s="99"/>
      <c r="H445" s="99"/>
      <c r="I445" s="176">
        <f t="shared" si="26"/>
        <v>1318</v>
      </c>
      <c r="J445" s="84"/>
      <c r="K445" s="53">
        <f t="shared" si="25"/>
        <v>1318</v>
      </c>
    </row>
    <row r="446" spans="1:11" ht="15" customHeight="1">
      <c r="A446" s="95"/>
      <c r="B446" s="116" t="s">
        <v>167</v>
      </c>
      <c r="C446" s="99"/>
      <c r="D446" s="99"/>
      <c r="E446" s="99">
        <v>3500</v>
      </c>
      <c r="F446" s="99"/>
      <c r="G446" s="99"/>
      <c r="H446" s="99"/>
      <c r="I446" s="176">
        <f t="shared" si="26"/>
        <v>3500</v>
      </c>
      <c r="J446" s="84"/>
      <c r="K446" s="53">
        <f t="shared" si="25"/>
        <v>3500</v>
      </c>
    </row>
    <row r="447" spans="1:11" ht="15" customHeight="1">
      <c r="A447" s="95"/>
      <c r="B447" s="116" t="s">
        <v>47</v>
      </c>
      <c r="C447" s="99"/>
      <c r="D447" s="99"/>
      <c r="E447" s="99">
        <v>2574</v>
      </c>
      <c r="F447" s="99"/>
      <c r="G447" s="99"/>
      <c r="H447" s="99"/>
      <c r="I447" s="176">
        <f t="shared" si="26"/>
        <v>2574</v>
      </c>
      <c r="J447" s="84"/>
      <c r="K447" s="53">
        <f t="shared" si="25"/>
        <v>2574</v>
      </c>
    </row>
    <row r="448" spans="1:11" ht="15" customHeight="1">
      <c r="A448" s="95"/>
      <c r="B448" s="116" t="s">
        <v>234</v>
      </c>
      <c r="C448" s="99"/>
      <c r="D448" s="99"/>
      <c r="E448" s="99">
        <v>6300</v>
      </c>
      <c r="F448" s="99"/>
      <c r="G448" s="99"/>
      <c r="H448" s="99"/>
      <c r="I448" s="176">
        <f t="shared" si="26"/>
        <v>6300</v>
      </c>
      <c r="J448" s="84"/>
      <c r="K448" s="53">
        <f t="shared" si="25"/>
        <v>6300</v>
      </c>
    </row>
    <row r="449" spans="1:11" ht="19.5" customHeight="1">
      <c r="A449" s="95"/>
      <c r="B449" s="116" t="s">
        <v>701</v>
      </c>
      <c r="C449" s="99"/>
      <c r="D449" s="99"/>
      <c r="E449" s="99">
        <v>1456</v>
      </c>
      <c r="F449" s="99"/>
      <c r="G449" s="99"/>
      <c r="H449" s="99"/>
      <c r="I449" s="176">
        <f t="shared" si="26"/>
        <v>1456</v>
      </c>
      <c r="J449" s="84"/>
      <c r="K449" s="53">
        <f t="shared" si="25"/>
        <v>1456</v>
      </c>
    </row>
    <row r="450" spans="1:11" ht="18.75" customHeight="1">
      <c r="A450" s="95"/>
      <c r="B450" s="116" t="s">
        <v>702</v>
      </c>
      <c r="C450" s="99"/>
      <c r="D450" s="99"/>
      <c r="E450" s="99">
        <v>500</v>
      </c>
      <c r="F450" s="99"/>
      <c r="G450" s="99"/>
      <c r="H450" s="99"/>
      <c r="I450" s="176">
        <f t="shared" si="26"/>
        <v>500</v>
      </c>
      <c r="J450" s="84"/>
      <c r="K450" s="53">
        <f t="shared" si="25"/>
        <v>500</v>
      </c>
    </row>
    <row r="451" spans="1:11" ht="15" customHeight="1">
      <c r="A451" s="95"/>
      <c r="B451" s="116" t="s">
        <v>163</v>
      </c>
      <c r="C451" s="99"/>
      <c r="D451" s="99"/>
      <c r="E451" s="99">
        <v>2500</v>
      </c>
      <c r="F451" s="99"/>
      <c r="G451" s="99"/>
      <c r="H451" s="99"/>
      <c r="I451" s="176">
        <f t="shared" si="26"/>
        <v>2500</v>
      </c>
      <c r="J451" s="84"/>
      <c r="K451" s="53">
        <f t="shared" si="25"/>
        <v>2500</v>
      </c>
    </row>
    <row r="452" spans="1:11" ht="15" customHeight="1">
      <c r="A452" s="95"/>
      <c r="B452" s="116" t="s">
        <v>258</v>
      </c>
      <c r="C452" s="99"/>
      <c r="D452" s="99"/>
      <c r="E452" s="99">
        <v>110</v>
      </c>
      <c r="F452" s="99"/>
      <c r="G452" s="99"/>
      <c r="H452" s="99"/>
      <c r="I452" s="176">
        <f t="shared" si="26"/>
        <v>110</v>
      </c>
      <c r="J452" s="84"/>
      <c r="K452" s="53">
        <f t="shared" si="25"/>
        <v>110</v>
      </c>
    </row>
    <row r="453" spans="1:11" ht="15" customHeight="1">
      <c r="A453" s="95"/>
      <c r="B453" s="116" t="s">
        <v>170</v>
      </c>
      <c r="C453" s="99"/>
      <c r="D453" s="99"/>
      <c r="E453" s="99">
        <v>1700</v>
      </c>
      <c r="F453" s="99"/>
      <c r="G453" s="99"/>
      <c r="H453" s="99"/>
      <c r="I453" s="176">
        <f t="shared" si="26"/>
        <v>1700</v>
      </c>
      <c r="J453" s="84"/>
      <c r="K453" s="53">
        <f t="shared" si="25"/>
        <v>1700</v>
      </c>
    </row>
    <row r="454" spans="1:11" ht="15" customHeight="1">
      <c r="A454" s="95"/>
      <c r="B454" s="116" t="s">
        <v>162</v>
      </c>
      <c r="C454" s="99"/>
      <c r="D454" s="99"/>
      <c r="E454" s="99">
        <v>5440</v>
      </c>
      <c r="F454" s="99"/>
      <c r="G454" s="99"/>
      <c r="H454" s="99"/>
      <c r="I454" s="176">
        <f t="shared" si="26"/>
        <v>5440</v>
      </c>
      <c r="J454" s="84"/>
      <c r="K454" s="53">
        <f>I454+J454</f>
        <v>5440</v>
      </c>
    </row>
    <row r="455" spans="1:11" ht="15" customHeight="1">
      <c r="A455" s="95"/>
      <c r="B455" s="116" t="s">
        <v>175</v>
      </c>
      <c r="C455" s="99"/>
      <c r="D455" s="99"/>
      <c r="E455" s="99">
        <f>2000+2494</f>
        <v>4494</v>
      </c>
      <c r="F455" s="99"/>
      <c r="G455" s="99"/>
      <c r="H455" s="99"/>
      <c r="I455" s="176">
        <f t="shared" si="26"/>
        <v>4494</v>
      </c>
      <c r="J455" s="176"/>
      <c r="K455" s="53">
        <f t="shared" si="25"/>
        <v>4494</v>
      </c>
    </row>
    <row r="456" spans="1:11" ht="21" customHeight="1">
      <c r="A456" s="95"/>
      <c r="B456" s="116" t="s">
        <v>737</v>
      </c>
      <c r="C456" s="99"/>
      <c r="D456" s="99"/>
      <c r="E456" s="99">
        <v>5300</v>
      </c>
      <c r="F456" s="99"/>
      <c r="G456" s="99"/>
      <c r="H456" s="99"/>
      <c r="I456" s="176">
        <f t="shared" si="26"/>
        <v>5300</v>
      </c>
      <c r="J456" s="84"/>
      <c r="K456" s="53">
        <f t="shared" si="25"/>
        <v>5300</v>
      </c>
    </row>
    <row r="457" spans="1:11" ht="15.75">
      <c r="A457" s="95"/>
      <c r="B457" s="116" t="s">
        <v>506</v>
      </c>
      <c r="C457" s="99"/>
      <c r="D457" s="99"/>
      <c r="E457" s="92">
        <v>2314</v>
      </c>
      <c r="F457" s="92"/>
      <c r="G457" s="99"/>
      <c r="H457" s="99"/>
      <c r="I457" s="176">
        <f t="shared" si="26"/>
        <v>2314</v>
      </c>
      <c r="J457" s="84"/>
      <c r="K457" s="53">
        <f t="shared" si="25"/>
        <v>2314</v>
      </c>
    </row>
    <row r="458" spans="1:11" ht="15.75">
      <c r="A458" s="95"/>
      <c r="B458" s="117" t="s">
        <v>129</v>
      </c>
      <c r="C458" s="99"/>
      <c r="D458" s="99"/>
      <c r="E458" s="99">
        <v>1363</v>
      </c>
      <c r="F458" s="99"/>
      <c r="G458" s="99"/>
      <c r="H458" s="99"/>
      <c r="I458" s="176">
        <f t="shared" si="26"/>
        <v>1363</v>
      </c>
      <c r="J458" s="84"/>
      <c r="K458" s="53">
        <f t="shared" si="25"/>
        <v>1363</v>
      </c>
    </row>
    <row r="459" spans="1:11" ht="15.75">
      <c r="A459" s="95"/>
      <c r="B459" s="114" t="s">
        <v>130</v>
      </c>
      <c r="C459" s="99"/>
      <c r="D459" s="99"/>
      <c r="E459" s="99">
        <v>1820</v>
      </c>
      <c r="F459" s="99"/>
      <c r="G459" s="99"/>
      <c r="H459" s="99"/>
      <c r="I459" s="176">
        <f t="shared" si="26"/>
        <v>1820</v>
      </c>
      <c r="J459" s="95"/>
      <c r="K459" s="99">
        <f t="shared" si="25"/>
        <v>1820</v>
      </c>
    </row>
    <row r="460" spans="1:11" ht="63">
      <c r="A460" s="96" t="s">
        <v>607</v>
      </c>
      <c r="B460" s="97" t="s">
        <v>608</v>
      </c>
      <c r="C460" s="98"/>
      <c r="D460" s="98"/>
      <c r="E460" s="98">
        <f>E461+E463</f>
        <v>181813</v>
      </c>
      <c r="F460" s="98">
        <f>F461+F463</f>
        <v>0</v>
      </c>
      <c r="G460" s="98">
        <f>G465</f>
        <v>7792</v>
      </c>
      <c r="H460" s="98">
        <f>H465</f>
        <v>0</v>
      </c>
      <c r="I460" s="175">
        <f>E460+G460</f>
        <v>189605</v>
      </c>
      <c r="J460" s="128">
        <f>H460</f>
        <v>0</v>
      </c>
      <c r="K460" s="98">
        <f>I460+J460</f>
        <v>189605</v>
      </c>
    </row>
    <row r="461" spans="1:11" ht="31.5">
      <c r="A461" s="96" t="s">
        <v>609</v>
      </c>
      <c r="B461" s="97" t="s">
        <v>610</v>
      </c>
      <c r="C461" s="98"/>
      <c r="D461" s="98"/>
      <c r="E461" s="98">
        <f>SUM(E462:E462)</f>
        <v>5000</v>
      </c>
      <c r="F461" s="98"/>
      <c r="G461" s="98"/>
      <c r="H461" s="98"/>
      <c r="I461" s="175">
        <f>E461</f>
        <v>5000</v>
      </c>
      <c r="J461" s="95"/>
      <c r="K461" s="98">
        <f>I461+J461</f>
        <v>5000</v>
      </c>
    </row>
    <row r="462" spans="1:11" ht="15.75">
      <c r="A462" s="95"/>
      <c r="B462" s="114" t="s">
        <v>683</v>
      </c>
      <c r="C462" s="99"/>
      <c r="D462" s="99"/>
      <c r="E462" s="99">
        <v>5000</v>
      </c>
      <c r="F462" s="99"/>
      <c r="G462" s="99"/>
      <c r="H462" s="99"/>
      <c r="I462" s="176">
        <f>E462</f>
        <v>5000</v>
      </c>
      <c r="J462" s="95"/>
      <c r="K462" s="99">
        <f t="shared" si="25"/>
        <v>5000</v>
      </c>
    </row>
    <row r="463" spans="1:11" ht="15.75">
      <c r="A463" s="96" t="s">
        <v>611</v>
      </c>
      <c r="B463" s="96" t="s">
        <v>612</v>
      </c>
      <c r="C463" s="98"/>
      <c r="D463" s="98"/>
      <c r="E463" s="98">
        <f>SUM(E464:E465)</f>
        <v>176813</v>
      </c>
      <c r="F463" s="98">
        <f>SUM(F464:F465)</f>
        <v>0</v>
      </c>
      <c r="G463" s="98"/>
      <c r="H463" s="98"/>
      <c r="I463" s="175">
        <f>E463</f>
        <v>176813</v>
      </c>
      <c r="J463" s="83">
        <f>J465</f>
        <v>0</v>
      </c>
      <c r="K463" s="188">
        <f t="shared" si="27" ref="K463:K470">I463+J463</f>
        <v>176813</v>
      </c>
    </row>
    <row r="464" spans="1:11" ht="15.75">
      <c r="A464" s="95"/>
      <c r="B464" s="95" t="s">
        <v>684</v>
      </c>
      <c r="C464" s="99"/>
      <c r="D464" s="99"/>
      <c r="E464" s="92">
        <v>70000</v>
      </c>
      <c r="F464" s="92"/>
      <c r="G464" s="99"/>
      <c r="H464" s="99"/>
      <c r="I464" s="175">
        <f t="shared" si="28" ref="I464:I472">E464</f>
        <v>70000</v>
      </c>
      <c r="J464" s="84"/>
      <c r="K464" s="53">
        <f t="shared" si="27"/>
        <v>70000</v>
      </c>
    </row>
    <row r="465" spans="1:13" ht="15.75">
      <c r="A465" s="190" t="s">
        <v>844</v>
      </c>
      <c r="B465" s="206" t="s">
        <v>845</v>
      </c>
      <c r="C465" s="95"/>
      <c r="D465" s="95"/>
      <c r="E465" s="96">
        <f>E470+E471+E472+E468+E466+E469+E467</f>
        <v>106813</v>
      </c>
      <c r="F465" s="98">
        <f>F470+F471+F472+F468+F466+F469</f>
        <v>0</v>
      </c>
      <c r="G465" s="96">
        <f>SUM(G466:G472)</f>
        <v>7792</v>
      </c>
      <c r="H465" s="98">
        <f>SUM(H466:H472)</f>
        <v>0</v>
      </c>
      <c r="I465" s="175">
        <f>E465+G465</f>
        <v>114605</v>
      </c>
      <c r="J465" s="175">
        <f>H465</f>
        <v>0</v>
      </c>
      <c r="K465" s="188">
        <f>I465+J465</f>
        <v>114605</v>
      </c>
      <c r="L465" s="76"/>
      <c r="M465" s="76"/>
    </row>
    <row r="466" spans="1:13" ht="27.75" customHeight="1">
      <c r="A466" s="190"/>
      <c r="B466" s="233" t="s">
        <v>888</v>
      </c>
      <c r="C466" s="95"/>
      <c r="D466" s="95"/>
      <c r="E466" s="95">
        <v>23808</v>
      </c>
      <c r="F466" s="99"/>
      <c r="G466" s="95"/>
      <c r="H466" s="99"/>
      <c r="I466" s="176">
        <f>E466</f>
        <v>23808</v>
      </c>
      <c r="J466" s="53"/>
      <c r="K466" s="53">
        <f t="shared" si="27"/>
        <v>23808</v>
      </c>
      <c r="L466" s="76"/>
      <c r="M466" s="76"/>
    </row>
    <row r="467" spans="1:13" ht="39.75" customHeight="1">
      <c r="A467" s="190"/>
      <c r="B467" s="234" t="s">
        <v>891</v>
      </c>
      <c r="C467" s="95"/>
      <c r="D467" s="95"/>
      <c r="E467" s="95"/>
      <c r="F467" s="235"/>
      <c r="G467" s="95">
        <v>7792</v>
      </c>
      <c r="H467" s="99"/>
      <c r="I467" s="176">
        <f>G467</f>
        <v>7792</v>
      </c>
      <c r="J467" s="53">
        <f>H467</f>
        <v>0</v>
      </c>
      <c r="K467" s="53">
        <f t="shared" si="27"/>
        <v>7792</v>
      </c>
      <c r="L467" s="76"/>
      <c r="M467" s="76"/>
    </row>
    <row r="468" spans="1:13" ht="30">
      <c r="A468" s="190"/>
      <c r="B468" s="234" t="s">
        <v>884</v>
      </c>
      <c r="C468" s="95"/>
      <c r="D468" s="95"/>
      <c r="E468" s="95">
        <v>70887</v>
      </c>
      <c r="F468" s="99"/>
      <c r="G468" s="95"/>
      <c r="H468" s="99"/>
      <c r="I468" s="176">
        <f>E468</f>
        <v>70887</v>
      </c>
      <c r="J468" s="53"/>
      <c r="K468" s="53">
        <f t="shared" si="27"/>
        <v>70887</v>
      </c>
      <c r="L468" s="76"/>
      <c r="M468" s="76"/>
    </row>
    <row r="469" spans="1:13" ht="36.75" customHeight="1">
      <c r="A469" s="190"/>
      <c r="B469" s="234" t="s">
        <v>880</v>
      </c>
      <c r="C469" s="95"/>
      <c r="D469" s="95"/>
      <c r="E469" s="95">
        <v>3118</v>
      </c>
      <c r="F469" s="99"/>
      <c r="G469" s="95"/>
      <c r="H469" s="99"/>
      <c r="I469" s="176">
        <f>E469</f>
        <v>3118</v>
      </c>
      <c r="J469" s="53"/>
      <c r="K469" s="53">
        <f t="shared" si="27"/>
        <v>3118</v>
      </c>
      <c r="L469" s="76"/>
      <c r="M469" s="76"/>
    </row>
    <row r="470" spans="1:13" ht="31.5">
      <c r="A470" s="190"/>
      <c r="B470" s="205" t="s">
        <v>842</v>
      </c>
      <c r="C470" s="95"/>
      <c r="D470" s="95"/>
      <c r="E470" s="95">
        <v>3500</v>
      </c>
      <c r="F470" s="95"/>
      <c r="G470" s="95"/>
      <c r="H470" s="84"/>
      <c r="I470" s="176">
        <f t="shared" si="28"/>
        <v>3500</v>
      </c>
      <c r="J470" s="84"/>
      <c r="K470" s="53">
        <f t="shared" si="27"/>
        <v>3500</v>
      </c>
      <c r="L470" s="76"/>
      <c r="M470" s="76"/>
    </row>
    <row r="471" spans="1:13" ht="31.5">
      <c r="A471" s="190"/>
      <c r="B471" s="71" t="s">
        <v>843</v>
      </c>
      <c r="C471" s="95"/>
      <c r="D471" s="95"/>
      <c r="E471" s="95">
        <v>2000</v>
      </c>
      <c r="F471" s="95"/>
      <c r="G471" s="95"/>
      <c r="H471" s="84"/>
      <c r="I471" s="176">
        <f t="shared" si="28"/>
        <v>2000</v>
      </c>
      <c r="J471" s="84"/>
      <c r="K471" s="53">
        <f>I471+J471</f>
        <v>2000</v>
      </c>
      <c r="L471" s="76"/>
      <c r="M471" s="76"/>
    </row>
    <row r="472" spans="1:13" ht="22.5" customHeight="1">
      <c r="A472" s="190"/>
      <c r="B472" s="71" t="s">
        <v>759</v>
      </c>
      <c r="C472" s="95"/>
      <c r="D472" s="95"/>
      <c r="E472" s="95">
        <v>3500</v>
      </c>
      <c r="F472" s="95"/>
      <c r="G472" s="95"/>
      <c r="H472" s="84"/>
      <c r="I472" s="176">
        <f t="shared" si="28"/>
        <v>3500</v>
      </c>
      <c r="J472" s="84"/>
      <c r="K472" s="53">
        <f>I472+J472</f>
        <v>3500</v>
      </c>
      <c r="L472" s="76"/>
      <c r="M472" s="76"/>
    </row>
    <row r="474" spans="2:2" ht="18.75">
      <c r="B474" s="121" t="s">
        <v>820</v>
      </c>
    </row>
  </sheetData>
  <mergeCells count="7">
    <mergeCell ref="J15:J16"/>
    <mergeCell ref="K15:K16"/>
    <mergeCell ref="A13:I13"/>
    <mergeCell ref="A15:A16"/>
    <mergeCell ref="B15:B16"/>
    <mergeCell ref="I15:I16"/>
    <mergeCell ref="C15:H15"/>
  </mergeCells>
  <pageMargins left="0.7" right="0.7" top="0.75" bottom="0.75" header="0.3" footer="0.3"/>
  <pageSetup orientation="portrait" paperSize="9" scale="35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388"/>
  <sheetViews>
    <sheetView workbookViewId="0" topLeftCell="A1">
      <selection pane="topLeft" activeCell="H4" sqref="H4"/>
    </sheetView>
  </sheetViews>
  <sheetFormatPr defaultRowHeight="15.75"/>
  <cols>
    <col min="1" max="1" width="14.4285714285714" customWidth="1"/>
    <col min="2" max="2" width="38.8571428571429" style="74" customWidth="1"/>
    <col min="3" max="3" width="18.2857142857143" style="24" customWidth="1"/>
    <col min="4" max="4" width="18.5714285714286" customWidth="1"/>
    <col min="5" max="5" width="15.7142857142857" customWidth="1"/>
    <col min="6" max="6" width="18.2857142857143" customWidth="1"/>
    <col min="7" max="7" width="17.2857142857143" customWidth="1"/>
    <col min="8" max="8" width="17.7142857142857" style="122" customWidth="1"/>
    <col min="9" max="9" width="14.4285714285714" customWidth="1"/>
    <col min="10" max="10" width="12" customWidth="1"/>
    <col min="13" max="13" width="9.85714285714286" bestFit="1" customWidth="1"/>
    <col min="15" max="15" width="9.42857142857143" bestFit="1" customWidth="1"/>
  </cols>
  <sheetData>
    <row r="1" spans="1:7" ht="15" customHeight="1">
      <c r="A1" s="19"/>
      <c r="B1" s="76"/>
      <c r="C1" s="19"/>
      <c r="D1" s="20"/>
      <c r="E1" s="20"/>
      <c r="F1" s="19"/>
      <c r="G1" s="20"/>
    </row>
    <row r="2" spans="1:8" ht="15" customHeight="1">
      <c r="A2" s="19"/>
      <c r="B2" s="76"/>
      <c r="C2" s="19"/>
      <c r="E2" s="18"/>
      <c r="F2" s="19"/>
      <c r="G2" s="18"/>
      <c r="H2" s="123" t="s">
        <v>260</v>
      </c>
    </row>
    <row r="3" spans="1:8" ht="15" customHeight="1">
      <c r="A3" s="19"/>
      <c r="B3" s="76"/>
      <c r="C3" s="19"/>
      <c r="D3" s="18"/>
      <c r="E3" s="18"/>
      <c r="F3" s="19"/>
      <c r="G3" s="18"/>
      <c r="H3" s="124" t="s">
        <v>829</v>
      </c>
    </row>
    <row r="4" spans="1:8" ht="15" customHeight="1">
      <c r="A4" s="19"/>
      <c r="B4" s="76"/>
      <c r="C4" s="19"/>
      <c r="D4" s="18"/>
      <c r="E4" s="18"/>
      <c r="F4" s="19"/>
      <c r="G4" s="18"/>
      <c r="H4" s="124" t="s">
        <v>910</v>
      </c>
    </row>
    <row r="5" spans="1:8" ht="15" customHeight="1">
      <c r="A5" s="19"/>
      <c r="B5" s="76"/>
      <c r="C5" s="19"/>
      <c r="D5" s="19"/>
      <c r="E5" s="19"/>
      <c r="F5" s="19"/>
      <c r="G5" s="19"/>
      <c r="H5" s="124" t="s">
        <v>835</v>
      </c>
    </row>
    <row r="6" spans="1:8" ht="15" customHeight="1">
      <c r="A6" s="19"/>
      <c r="B6" s="76"/>
      <c r="C6" s="19"/>
      <c r="D6" s="19"/>
      <c r="E6" s="19"/>
      <c r="F6" s="19"/>
      <c r="G6" s="19"/>
      <c r="H6" s="124" t="s">
        <v>761</v>
      </c>
    </row>
    <row r="7" spans="1:8" ht="15" customHeight="1">
      <c r="A7" s="19"/>
      <c r="B7" s="76"/>
      <c r="C7" s="19"/>
      <c r="D7" s="19"/>
      <c r="E7" s="19"/>
      <c r="F7" s="19"/>
      <c r="G7" s="19"/>
      <c r="H7" s="124"/>
    </row>
    <row r="8" spans="1:8" ht="15" customHeight="1">
      <c r="A8" s="19"/>
      <c r="B8" s="76"/>
      <c r="C8" s="19"/>
      <c r="D8" s="19"/>
      <c r="E8" s="19"/>
      <c r="F8" s="19"/>
      <c r="G8" s="19"/>
      <c r="H8" s="123" t="s">
        <v>260</v>
      </c>
    </row>
    <row r="9" spans="1:8" ht="15" customHeight="1">
      <c r="A9" s="19"/>
      <c r="B9" s="76"/>
      <c r="C9" s="19"/>
      <c r="D9" s="19"/>
      <c r="E9" s="19"/>
      <c r="F9" s="19"/>
      <c r="G9" s="19"/>
      <c r="H9" s="124" t="s">
        <v>829</v>
      </c>
    </row>
    <row r="10" spans="1:8" ht="15" customHeight="1">
      <c r="A10" s="19"/>
      <c r="B10" s="76"/>
      <c r="C10" s="19"/>
      <c r="D10" s="19"/>
      <c r="E10" s="19"/>
      <c r="F10" s="19"/>
      <c r="G10" s="19"/>
      <c r="H10" s="124" t="s">
        <v>830</v>
      </c>
    </row>
    <row r="11" spans="1:8" ht="15" customHeight="1">
      <c r="A11" s="19"/>
      <c r="B11" s="76"/>
      <c r="C11" s="19"/>
      <c r="D11" s="19"/>
      <c r="E11" s="19"/>
      <c r="F11" s="19"/>
      <c r="G11" s="19"/>
      <c r="H11" s="124" t="s">
        <v>761</v>
      </c>
    </row>
    <row r="12" spans="1:8" ht="15" customHeight="1">
      <c r="A12" s="18"/>
      <c r="B12" s="150"/>
      <c r="C12" s="150"/>
      <c r="D12" s="150"/>
      <c r="E12" s="150"/>
      <c r="F12" s="150"/>
      <c r="G12" s="150"/>
      <c r="H12" s="125"/>
    </row>
    <row r="13" spans="1:8" ht="15" customHeight="1">
      <c r="A13" s="19"/>
      <c r="B13" s="151"/>
      <c r="C13" s="151" t="s">
        <v>764</v>
      </c>
      <c r="D13" s="151"/>
      <c r="E13" s="151"/>
      <c r="F13" s="151"/>
      <c r="G13" s="151"/>
      <c r="H13" s="125"/>
    </row>
    <row r="14" spans="1:8" ht="15" customHeight="1">
      <c r="A14" s="19"/>
      <c r="B14" s="101"/>
      <c r="C14" s="21"/>
      <c r="D14" s="22"/>
      <c r="E14" s="22"/>
      <c r="F14" s="22"/>
      <c r="G14" s="22"/>
      <c r="H14" s="126"/>
    </row>
    <row r="15" spans="1:8" ht="15" customHeight="1">
      <c r="A15" s="3" t="s">
        <v>261</v>
      </c>
      <c r="B15" s="4" t="s">
        <v>262</v>
      </c>
      <c r="C15" s="16"/>
      <c r="D15" s="170" t="s">
        <v>263</v>
      </c>
      <c r="E15" s="171"/>
      <c r="F15" s="171"/>
      <c r="G15" s="172"/>
      <c r="H15" s="5" t="s">
        <v>264</v>
      </c>
    </row>
    <row r="16" spans="1:8" ht="45" customHeight="1">
      <c r="A16" s="2"/>
      <c r="B16" s="4"/>
      <c r="C16" s="61" t="s">
        <v>682</v>
      </c>
      <c r="D16" s="61" t="s">
        <v>265</v>
      </c>
      <c r="E16" s="61" t="s">
        <v>266</v>
      </c>
      <c r="F16" s="61" t="s">
        <v>267</v>
      </c>
      <c r="G16" s="61" t="s">
        <v>268</v>
      </c>
      <c r="H16" s="5"/>
    </row>
    <row r="17" spans="1:10" ht="15" customHeight="1">
      <c r="A17" s="16"/>
      <c r="B17" s="17"/>
      <c r="C17" s="62">
        <f t="shared" si="0" ref="C17:H17">C18+C51+C55+C112+C182+C193+C248+C324+C89</f>
        <v>938499</v>
      </c>
      <c r="D17" s="62">
        <f t="shared" si="0"/>
        <v>21643689.98</v>
      </c>
      <c r="E17" s="62">
        <f t="shared" si="0"/>
        <v>5036358</v>
      </c>
      <c r="F17" s="62">
        <f>F18+F51+F55+F112+F182+F193+F248+F324+F89</f>
        <v>10507098</v>
      </c>
      <c r="G17" s="62">
        <f>G18+G51+G55+G112+G182+G193+G248+G324+G89</f>
        <v>974992</v>
      </c>
      <c r="H17" s="52">
        <f t="shared" si="0"/>
        <v>39100637.210000001</v>
      </c>
      <c r="I17" s="75"/>
      <c r="J17" s="236"/>
    </row>
    <row r="18" spans="1:9" ht="15" customHeight="1">
      <c r="A18" s="15" t="s">
        <v>269</v>
      </c>
      <c r="B18" s="83" t="s">
        <v>270</v>
      </c>
      <c r="C18" s="63">
        <f>SUM(C19:C50)</f>
        <v>5614</v>
      </c>
      <c r="D18" s="63">
        <f>SUM(D19:D50)</f>
        <v>3830431</v>
      </c>
      <c r="E18" s="63">
        <f>SUM(E19:E50)</f>
        <v>12862</v>
      </c>
      <c r="F18" s="63">
        <f>SUM(F19:F50)</f>
        <v>130710</v>
      </c>
      <c r="G18" s="63">
        <f>SUM(G19:G49)</f>
        <v>0</v>
      </c>
      <c r="H18" s="52">
        <f>SUM(H19:H50)</f>
        <v>3979617</v>
      </c>
      <c r="I18" s="75"/>
    </row>
    <row r="19" spans="1:9" ht="15" customHeight="1">
      <c r="A19" s="56"/>
      <c r="B19" s="84" t="s">
        <v>1</v>
      </c>
      <c r="C19" s="64"/>
      <c r="D19" s="54">
        <f>H19-E19-G19-F19-C19</f>
        <v>1522773</v>
      </c>
      <c r="E19" s="54"/>
      <c r="F19" s="54"/>
      <c r="G19" s="54"/>
      <c r="H19" s="52">
        <f>'4.pielikums'!B18</f>
        <v>1522773</v>
      </c>
      <c r="I19" s="75"/>
    </row>
    <row r="20" spans="1:9" ht="15" customHeight="1">
      <c r="A20" s="56"/>
      <c r="B20" s="84" t="s">
        <v>2</v>
      </c>
      <c r="C20" s="64"/>
      <c r="D20" s="54">
        <f t="shared" si="1" ref="D20:D82">H20-E20-G20-F20-C20</f>
        <v>127701</v>
      </c>
      <c r="E20" s="54"/>
      <c r="F20" s="54"/>
      <c r="G20" s="54"/>
      <c r="H20" s="52">
        <f>'4.pielikums'!B19</f>
        <v>127701</v>
      </c>
      <c r="I20" s="75"/>
    </row>
    <row r="21" spans="1:9" ht="30" customHeight="1">
      <c r="A21" s="56"/>
      <c r="B21" s="94" t="s">
        <v>180</v>
      </c>
      <c r="C21" s="59"/>
      <c r="D21" s="54">
        <f>H21-E21-G21-F21-C21</f>
        <v>255015</v>
      </c>
      <c r="E21" s="54"/>
      <c r="F21" s="54"/>
      <c r="G21" s="54"/>
      <c r="H21" s="52">
        <f>'4.pielikums'!B20</f>
        <v>255015</v>
      </c>
      <c r="I21" s="75"/>
    </row>
    <row r="22" spans="1:9" ht="15" customHeight="1">
      <c r="A22" s="56"/>
      <c r="B22" s="94" t="s">
        <v>211</v>
      </c>
      <c r="C22" s="59"/>
      <c r="D22" s="54">
        <f t="shared" si="1"/>
        <v>30000</v>
      </c>
      <c r="E22" s="54"/>
      <c r="F22" s="54"/>
      <c r="G22" s="54"/>
      <c r="H22" s="52">
        <f>'4.pielikums'!B21</f>
        <v>30000</v>
      </c>
      <c r="I22" s="75"/>
    </row>
    <row r="23" spans="1:9" ht="15" customHeight="1">
      <c r="A23" s="56"/>
      <c r="B23" s="94" t="s">
        <v>907</v>
      </c>
      <c r="C23" s="59"/>
      <c r="D23" s="54">
        <f>H23-E23-G23-F23-C23</f>
        <v>68960</v>
      </c>
      <c r="E23" s="54"/>
      <c r="F23" s="54"/>
      <c r="G23" s="54"/>
      <c r="H23" s="52">
        <f>'4.pielikums'!B24</f>
        <v>68960</v>
      </c>
      <c r="I23" s="75"/>
    </row>
    <row r="24" spans="1:9" ht="15" customHeight="1">
      <c r="A24" s="56"/>
      <c r="B24" s="95" t="s">
        <v>3</v>
      </c>
      <c r="C24" s="64"/>
      <c r="D24" s="54">
        <f t="shared" si="1"/>
        <v>36366</v>
      </c>
      <c r="E24" s="54">
        <v>115</v>
      </c>
      <c r="F24" s="54"/>
      <c r="G24" s="54"/>
      <c r="H24" s="265">
        <f>'4.pielikums'!B26</f>
        <v>36481</v>
      </c>
      <c r="I24" s="75"/>
    </row>
    <row r="25" spans="1:9" ht="15" customHeight="1">
      <c r="A25" s="56"/>
      <c r="B25" s="95" t="s">
        <v>903</v>
      </c>
      <c r="C25" s="64"/>
      <c r="D25" s="54">
        <f t="shared" si="1"/>
        <v>79713</v>
      </c>
      <c r="E25" s="54">
        <v>305</v>
      </c>
      <c r="F25" s="54"/>
      <c r="G25" s="54"/>
      <c r="H25" s="52">
        <f>'4.pielikums'!B28</f>
        <v>80018</v>
      </c>
      <c r="I25" s="75"/>
    </row>
    <row r="26" spans="1:9" ht="15" customHeight="1">
      <c r="A26" s="56"/>
      <c r="B26" s="95" t="s">
        <v>4</v>
      </c>
      <c r="C26" s="64"/>
      <c r="D26" s="54">
        <f t="shared" si="1"/>
        <v>19629</v>
      </c>
      <c r="E26" s="54"/>
      <c r="F26" s="54"/>
      <c r="G26" s="54"/>
      <c r="H26" s="52">
        <f>'4.pielikums'!B30</f>
        <v>19629</v>
      </c>
      <c r="I26" s="75"/>
    </row>
    <row r="27" spans="1:9" ht="15" customHeight="1">
      <c r="A27" s="56"/>
      <c r="B27" s="95" t="s">
        <v>5</v>
      </c>
      <c r="C27" s="64"/>
      <c r="D27" s="54">
        <f t="shared" si="1"/>
        <v>28144</v>
      </c>
      <c r="E27" s="53">
        <v>910</v>
      </c>
      <c r="F27" s="54"/>
      <c r="G27" s="54"/>
      <c r="H27" s="52">
        <f>'4.pielikums'!B32</f>
        <v>29054</v>
      </c>
      <c r="I27" s="75"/>
    </row>
    <row r="28" spans="1:9" ht="15" customHeight="1">
      <c r="A28" s="56"/>
      <c r="B28" s="95" t="s">
        <v>6</v>
      </c>
      <c r="C28" s="64"/>
      <c r="D28" s="54">
        <f t="shared" si="1"/>
        <v>18181</v>
      </c>
      <c r="E28" s="54"/>
      <c r="F28" s="54"/>
      <c r="G28" s="54"/>
      <c r="H28" s="52">
        <f>'4.pielikums'!B34</f>
        <v>18181</v>
      </c>
      <c r="I28" s="75"/>
    </row>
    <row r="29" spans="1:9" ht="15" customHeight="1">
      <c r="A29" s="56"/>
      <c r="B29" s="95" t="s">
        <v>7</v>
      </c>
      <c r="C29" s="64"/>
      <c r="D29" s="54">
        <f t="shared" si="1"/>
        <v>26589</v>
      </c>
      <c r="E29" s="54">
        <v>85</v>
      </c>
      <c r="F29" s="54"/>
      <c r="G29" s="54"/>
      <c r="H29" s="52">
        <f>'4.pielikums'!B36</f>
        <v>26674</v>
      </c>
      <c r="I29" s="75"/>
    </row>
    <row r="30" spans="1:9" ht="15" customHeight="1">
      <c r="A30" s="56"/>
      <c r="B30" s="95" t="s">
        <v>8</v>
      </c>
      <c r="C30" s="64"/>
      <c r="D30" s="54">
        <f t="shared" si="1"/>
        <v>29750</v>
      </c>
      <c r="E30" s="54">
        <v>0</v>
      </c>
      <c r="F30" s="54"/>
      <c r="G30" s="54"/>
      <c r="H30" s="52">
        <f>'4.pielikums'!B38</f>
        <v>29750</v>
      </c>
      <c r="I30" s="75"/>
    </row>
    <row r="31" spans="1:9" ht="15" customHeight="1">
      <c r="A31" s="56"/>
      <c r="B31" s="95" t="s">
        <v>95</v>
      </c>
      <c r="C31" s="64"/>
      <c r="D31" s="54">
        <f t="shared" si="1"/>
        <v>50226</v>
      </c>
      <c r="E31" s="54">
        <v>0</v>
      </c>
      <c r="F31" s="54"/>
      <c r="G31" s="54"/>
      <c r="H31" s="52">
        <f>'4.pielikums'!B40</f>
        <v>50226</v>
      </c>
      <c r="I31" s="75"/>
    </row>
    <row r="32" spans="1:9" ht="15" customHeight="1">
      <c r="A32" s="56"/>
      <c r="B32" s="95" t="s">
        <v>136</v>
      </c>
      <c r="C32" s="64"/>
      <c r="D32" s="54">
        <f t="shared" si="1"/>
        <v>22144</v>
      </c>
      <c r="E32" s="54"/>
      <c r="F32" s="54"/>
      <c r="G32" s="54"/>
      <c r="H32" s="52">
        <f>'4.pielikums'!B42</f>
        <v>22144</v>
      </c>
      <c r="I32" s="75"/>
    </row>
    <row r="33" spans="1:9" ht="15" customHeight="1">
      <c r="A33" s="56"/>
      <c r="B33" s="95" t="s">
        <v>9</v>
      </c>
      <c r="C33" s="64"/>
      <c r="D33" s="54">
        <f>H33-E33-G33-F33-C33</f>
        <v>15786</v>
      </c>
      <c r="E33" s="54"/>
      <c r="F33" s="54"/>
      <c r="G33" s="54"/>
      <c r="H33" s="52">
        <f>'4.pielikums'!B44</f>
        <v>15786</v>
      </c>
      <c r="I33" s="75"/>
    </row>
    <row r="34" spans="1:9" ht="15" customHeight="1">
      <c r="A34" s="56"/>
      <c r="B34" s="94" t="s">
        <v>96</v>
      </c>
      <c r="C34" s="59"/>
      <c r="D34" s="54">
        <f t="shared" si="1"/>
        <v>34119</v>
      </c>
      <c r="E34" s="89"/>
      <c r="F34" s="54"/>
      <c r="G34" s="54"/>
      <c r="H34" s="52">
        <f>'4.pielikums'!B46</f>
        <v>34119</v>
      </c>
      <c r="I34" s="75"/>
    </row>
    <row r="35" spans="1:9" ht="15" customHeight="1">
      <c r="A35" s="56"/>
      <c r="B35" s="94" t="s">
        <v>904</v>
      </c>
      <c r="C35" s="59"/>
      <c r="D35" s="54">
        <f t="shared" si="1"/>
        <v>57487</v>
      </c>
      <c r="E35" s="54">
        <v>1200</v>
      </c>
      <c r="F35" s="54"/>
      <c r="G35" s="54"/>
      <c r="H35" s="52">
        <f>'4.pielikums'!B48</f>
        <v>58687</v>
      </c>
      <c r="I35" s="75"/>
    </row>
    <row r="36" spans="1:9" ht="15" customHeight="1">
      <c r="A36" s="56"/>
      <c r="B36" s="94" t="s">
        <v>97</v>
      </c>
      <c r="C36" s="59"/>
      <c r="D36" s="54">
        <f t="shared" si="1"/>
        <v>20500</v>
      </c>
      <c r="E36" s="54"/>
      <c r="F36" s="54"/>
      <c r="G36" s="54"/>
      <c r="H36" s="52">
        <f>'4.pielikums'!B50</f>
        <v>20500</v>
      </c>
      <c r="I36" s="75"/>
    </row>
    <row r="37" spans="1:9" ht="15" customHeight="1">
      <c r="A37" s="56"/>
      <c r="B37" s="94" t="s">
        <v>98</v>
      </c>
      <c r="C37" s="59"/>
      <c r="D37" s="54">
        <f t="shared" si="1"/>
        <v>37996</v>
      </c>
      <c r="E37" s="54"/>
      <c r="F37" s="54"/>
      <c r="G37" s="54"/>
      <c r="H37" s="52">
        <f>'4.pielikums'!B52</f>
        <v>37996</v>
      </c>
      <c r="I37" s="75"/>
    </row>
    <row r="38" spans="1:9" ht="15" customHeight="1">
      <c r="A38" s="56"/>
      <c r="B38" s="95" t="s">
        <v>10</v>
      </c>
      <c r="C38" s="64"/>
      <c r="D38" s="54">
        <f t="shared" si="1"/>
        <v>25825</v>
      </c>
      <c r="E38" s="54">
        <f>500</f>
        <v>500</v>
      </c>
      <c r="F38" s="54"/>
      <c r="G38" s="54"/>
      <c r="H38" s="52">
        <f>'4.pielikums'!B54</f>
        <v>26325</v>
      </c>
      <c r="I38" s="75"/>
    </row>
    <row r="39" spans="1:9" ht="15" customHeight="1">
      <c r="A39" s="56"/>
      <c r="B39" s="95" t="s">
        <v>11</v>
      </c>
      <c r="C39" s="64"/>
      <c r="D39" s="54">
        <f t="shared" si="1"/>
        <v>45629</v>
      </c>
      <c r="E39" s="54"/>
      <c r="F39" s="54"/>
      <c r="G39" s="54"/>
      <c r="H39" s="52">
        <f>'4.pielikums'!B56</f>
        <v>45629</v>
      </c>
      <c r="I39" s="75"/>
    </row>
    <row r="40" spans="1:9" ht="15" customHeight="1">
      <c r="A40" s="56"/>
      <c r="B40" s="95" t="s">
        <v>99</v>
      </c>
      <c r="C40" s="64"/>
      <c r="D40" s="54">
        <f t="shared" si="1"/>
        <v>20806</v>
      </c>
      <c r="E40" s="54"/>
      <c r="F40" s="54"/>
      <c r="G40" s="54"/>
      <c r="H40" s="52">
        <f>'4.pielikums'!B58</f>
        <v>20806</v>
      </c>
      <c r="I40" s="75"/>
    </row>
    <row r="41" spans="1:9" ht="15" customHeight="1">
      <c r="A41" s="56"/>
      <c r="B41" s="95" t="s">
        <v>12</v>
      </c>
      <c r="C41" s="64"/>
      <c r="D41" s="54">
        <f t="shared" si="1"/>
        <v>32705</v>
      </c>
      <c r="E41" s="54">
        <f>67</f>
        <v>67</v>
      </c>
      <c r="F41" s="54"/>
      <c r="G41" s="54"/>
      <c r="H41" s="52">
        <f>'4.pielikums'!B60</f>
        <v>32772</v>
      </c>
      <c r="I41" s="75"/>
    </row>
    <row r="42" spans="1:9" ht="15" customHeight="1">
      <c r="A42" s="56"/>
      <c r="B42" s="94" t="s">
        <v>906</v>
      </c>
      <c r="C42" s="59"/>
      <c r="D42" s="54">
        <f t="shared" si="1"/>
        <v>88366</v>
      </c>
      <c r="E42" s="54">
        <v>1130</v>
      </c>
      <c r="F42" s="54"/>
      <c r="G42" s="54"/>
      <c r="H42" s="52">
        <f>'4.pielikums'!B62</f>
        <v>89496</v>
      </c>
      <c r="I42" s="75"/>
    </row>
    <row r="43" spans="1:9" ht="15" customHeight="1">
      <c r="A43" s="56"/>
      <c r="B43" s="94" t="s">
        <v>100</v>
      </c>
      <c r="C43" s="59"/>
      <c r="D43" s="54">
        <f t="shared" si="1"/>
        <v>34189</v>
      </c>
      <c r="E43" s="54"/>
      <c r="F43" s="54"/>
      <c r="G43" s="54"/>
      <c r="H43" s="52">
        <f>'4.pielikums'!B64</f>
        <v>34189</v>
      </c>
      <c r="I43" s="75"/>
    </row>
    <row r="44" spans="1:9" ht="30" customHeight="1">
      <c r="A44" s="56"/>
      <c r="B44" s="94" t="s">
        <v>94</v>
      </c>
      <c r="C44" s="59"/>
      <c r="D44" s="54">
        <f t="shared" si="1"/>
        <v>62491</v>
      </c>
      <c r="E44" s="54">
        <v>8550</v>
      </c>
      <c r="F44" s="54">
        <v>26000</v>
      </c>
      <c r="G44" s="54"/>
      <c r="H44" s="52">
        <f>'4.pielikums'!B66</f>
        <v>97041</v>
      </c>
      <c r="I44" s="75"/>
    </row>
    <row r="45" spans="1:9" ht="30" customHeight="1">
      <c r="A45" s="56"/>
      <c r="B45" s="94" t="s">
        <v>183</v>
      </c>
      <c r="C45" s="59"/>
      <c r="D45" s="54">
        <f t="shared" si="1"/>
        <v>917057</v>
      </c>
      <c r="E45" s="54"/>
      <c r="F45" s="54"/>
      <c r="G45" s="54"/>
      <c r="H45" s="52">
        <f>'4.pielikums'!B72</f>
        <v>917057</v>
      </c>
      <c r="I45" s="75"/>
    </row>
    <row r="46" spans="1:9" ht="15" customHeight="1">
      <c r="A46" s="56"/>
      <c r="B46" s="72" t="s">
        <v>13</v>
      </c>
      <c r="C46" s="59"/>
      <c r="D46" s="54">
        <f>H46-E46-G46-F46-C46</f>
        <v>0</v>
      </c>
      <c r="E46" s="54"/>
      <c r="F46" s="54"/>
      <c r="G46" s="54"/>
      <c r="H46" s="52">
        <f>'4.pielikums'!B68</f>
        <v>0</v>
      </c>
      <c r="I46" s="75"/>
    </row>
    <row r="47" spans="1:9" ht="15" customHeight="1">
      <c r="A47" s="56"/>
      <c r="B47" s="84" t="s">
        <v>14</v>
      </c>
      <c r="C47" s="64"/>
      <c r="D47" s="54">
        <f t="shared" si="1"/>
        <v>44990</v>
      </c>
      <c r="E47" s="54"/>
      <c r="F47" s="54"/>
      <c r="G47" s="54"/>
      <c r="H47" s="52">
        <f>'4.pielikums'!B70</f>
        <v>44990</v>
      </c>
      <c r="I47" s="75"/>
    </row>
    <row r="48" spans="1:9" ht="15" customHeight="1">
      <c r="A48" s="56"/>
      <c r="B48" s="84" t="s">
        <v>813</v>
      </c>
      <c r="C48" s="64"/>
      <c r="D48" s="54">
        <f t="shared" si="1"/>
        <v>4785</v>
      </c>
      <c r="E48" s="54"/>
      <c r="F48" s="54">
        <v>104710</v>
      </c>
      <c r="G48" s="54"/>
      <c r="H48" s="52">
        <f>'4.pielikums'!B22</f>
        <v>109495</v>
      </c>
      <c r="I48" s="75"/>
    </row>
    <row r="49" spans="1:9" ht="15" customHeight="1">
      <c r="A49" s="56"/>
      <c r="B49" s="84" t="s">
        <v>778</v>
      </c>
      <c r="C49" s="64">
        <v>5614</v>
      </c>
      <c r="D49" s="54">
        <f t="shared" si="1"/>
        <v>0</v>
      </c>
      <c r="E49" s="54"/>
      <c r="F49" s="54"/>
      <c r="G49" s="54"/>
      <c r="H49" s="52">
        <f>'4.pielikums'!B494</f>
        <v>5614</v>
      </c>
      <c r="I49" s="75"/>
    </row>
    <row r="50" spans="1:9" ht="47.25" customHeight="1">
      <c r="A50" s="56"/>
      <c r="B50" s="246" t="s">
        <v>892</v>
      </c>
      <c r="C50" s="64"/>
      <c r="D50" s="54">
        <f t="shared" si="1"/>
        <v>72509</v>
      </c>
      <c r="E50" s="54"/>
      <c r="F50" s="54"/>
      <c r="G50" s="54"/>
      <c r="H50" s="52">
        <f>'4.pielikums'!B520</f>
        <v>72509</v>
      </c>
      <c r="I50" s="272"/>
    </row>
    <row r="51" spans="1:9" ht="15" customHeight="1">
      <c r="A51" s="15" t="s">
        <v>271</v>
      </c>
      <c r="B51" s="85" t="s">
        <v>272</v>
      </c>
      <c r="C51" s="63">
        <f t="shared" si="2" ref="C51:H51">SUM(C52:C54)</f>
        <v>0</v>
      </c>
      <c r="D51" s="63">
        <f t="shared" si="2"/>
        <v>307863</v>
      </c>
      <c r="E51" s="63">
        <f t="shared" si="2"/>
        <v>24440</v>
      </c>
      <c r="F51" s="63">
        <f t="shared" si="2"/>
        <v>5280</v>
      </c>
      <c r="G51" s="63">
        <f t="shared" si="2"/>
        <v>0</v>
      </c>
      <c r="H51" s="52">
        <f t="shared" si="2"/>
        <v>337583</v>
      </c>
      <c r="I51" s="273"/>
    </row>
    <row r="52" spans="1:9" ht="15" customHeight="1">
      <c r="A52" s="65"/>
      <c r="B52" s="84" t="s">
        <v>15</v>
      </c>
      <c r="C52" s="64"/>
      <c r="D52" s="54">
        <f t="shared" si="1"/>
        <v>80922</v>
      </c>
      <c r="E52" s="92">
        <f>1400+1340+1200</f>
        <v>3940</v>
      </c>
      <c r="F52" s="54"/>
      <c r="G52" s="54"/>
      <c r="H52" s="52">
        <f>'4.pielikums'!B74</f>
        <v>84862</v>
      </c>
      <c r="I52" s="75"/>
    </row>
    <row r="53" spans="1:9" ht="15" customHeight="1">
      <c r="A53" s="56"/>
      <c r="B53" s="84" t="s">
        <v>16</v>
      </c>
      <c r="C53" s="64"/>
      <c r="D53" s="54">
        <f t="shared" si="1"/>
        <v>179947</v>
      </c>
      <c r="E53" s="92">
        <v>2000</v>
      </c>
      <c r="F53" s="54"/>
      <c r="G53" s="54"/>
      <c r="H53" s="52">
        <f>'4.pielikums'!B76</f>
        <v>181947</v>
      </c>
      <c r="I53" s="75"/>
    </row>
    <row r="54" spans="1:9" ht="15" customHeight="1">
      <c r="A54" s="56"/>
      <c r="B54" s="84" t="s">
        <v>60</v>
      </c>
      <c r="C54" s="64"/>
      <c r="D54" s="54">
        <f t="shared" si="1"/>
        <v>46994</v>
      </c>
      <c r="E54" s="92">
        <v>18500</v>
      </c>
      <c r="F54" s="54">
        <v>5280</v>
      </c>
      <c r="G54" s="54"/>
      <c r="H54" s="52">
        <f>'4.pielikums'!B77</f>
        <v>70774</v>
      </c>
      <c r="I54" s="75"/>
    </row>
    <row r="55" spans="1:9" ht="15" customHeight="1">
      <c r="A55" s="15" t="s">
        <v>273</v>
      </c>
      <c r="B55" s="83" t="s">
        <v>274</v>
      </c>
      <c r="C55" s="68">
        <f t="shared" si="3" ref="C55:H55">SUM(C56:C88)</f>
        <v>469913</v>
      </c>
      <c r="D55" s="68">
        <f>SUM(D56:D88)</f>
        <v>341427</v>
      </c>
      <c r="E55" s="68">
        <f t="shared" si="3"/>
        <v>19750</v>
      </c>
      <c r="F55" s="68">
        <f>SUM(F56:F88)</f>
        <v>1117982</v>
      </c>
      <c r="G55" s="68">
        <f t="shared" si="3"/>
        <v>310704</v>
      </c>
      <c r="H55" s="52">
        <f t="shared" si="3"/>
        <v>2259776</v>
      </c>
      <c r="I55" s="273"/>
    </row>
    <row r="56" spans="1:9" ht="15" customHeight="1">
      <c r="A56" s="65"/>
      <c r="B56" s="84" t="s">
        <v>275</v>
      </c>
      <c r="C56" s="64"/>
      <c r="D56" s="54">
        <f>H56-E56-G56-F56-C56</f>
        <v>52060</v>
      </c>
      <c r="E56" s="92">
        <f>10000</f>
        <v>10000</v>
      </c>
      <c r="F56" s="54"/>
      <c r="G56" s="54"/>
      <c r="H56" s="52">
        <f>'4.pielikums'!B79</f>
        <v>62060</v>
      </c>
      <c r="I56" s="75"/>
    </row>
    <row r="57" spans="1:9" ht="30" customHeight="1">
      <c r="A57" s="56"/>
      <c r="B57" s="72" t="s">
        <v>276</v>
      </c>
      <c r="C57" s="59"/>
      <c r="D57" s="54">
        <f t="shared" si="1"/>
        <v>96407</v>
      </c>
      <c r="E57" s="54">
        <v>4000</v>
      </c>
      <c r="F57" s="89"/>
      <c r="G57" s="54"/>
      <c r="H57" s="52">
        <f>'4.pielikums'!B84</f>
        <v>100407</v>
      </c>
      <c r="I57" s="75"/>
    </row>
    <row r="58" spans="1:9" ht="23.25" customHeight="1">
      <c r="A58" s="56"/>
      <c r="B58" s="72" t="s">
        <v>138</v>
      </c>
      <c r="C58" s="59">
        <v>9632</v>
      </c>
      <c r="D58" s="54">
        <f>H58-E58-G58-F58-C58</f>
        <v>743</v>
      </c>
      <c r="E58" s="54"/>
      <c r="F58" s="53">
        <v>60100</v>
      </c>
      <c r="G58" s="54"/>
      <c r="H58" s="52">
        <f>'4.pielikums'!B117</f>
        <v>70475</v>
      </c>
      <c r="I58" s="75"/>
    </row>
    <row r="59" spans="1:10" ht="15" customHeight="1">
      <c r="A59" s="66"/>
      <c r="B59" s="71" t="s">
        <v>68</v>
      </c>
      <c r="C59" s="59"/>
      <c r="D59" s="54">
        <f>H59-E59-G59-F59-C59</f>
        <v>0</v>
      </c>
      <c r="E59" s="54"/>
      <c r="F59" s="54">
        <v>104110</v>
      </c>
      <c r="G59" s="54"/>
      <c r="H59" s="52">
        <f>'4.pielikums'!B87</f>
        <v>104110</v>
      </c>
      <c r="I59" s="75"/>
      <c r="J59" s="80"/>
    </row>
    <row r="60" spans="1:9" ht="30" customHeight="1">
      <c r="A60" s="66"/>
      <c r="B60" s="71" t="s">
        <v>221</v>
      </c>
      <c r="C60" s="59">
        <v>8828</v>
      </c>
      <c r="D60" s="54">
        <f t="shared" si="1"/>
        <v>0</v>
      </c>
      <c r="E60" s="54"/>
      <c r="F60" s="54">
        <v>56751</v>
      </c>
      <c r="G60" s="54"/>
      <c r="H60" s="52">
        <f>'4.pielikums'!B88</f>
        <v>65579</v>
      </c>
      <c r="I60" s="75"/>
    </row>
    <row r="61" spans="1:9" ht="30" customHeight="1">
      <c r="A61" s="66"/>
      <c r="B61" s="71" t="s">
        <v>69</v>
      </c>
      <c r="C61" s="58">
        <v>649</v>
      </c>
      <c r="D61" s="54">
        <f t="shared" si="1"/>
        <v>0</v>
      </c>
      <c r="E61" s="54"/>
      <c r="F61" s="54">
        <v>27900</v>
      </c>
      <c r="G61" s="54"/>
      <c r="H61" s="52">
        <f>'4.pielikums'!B89</f>
        <v>28549</v>
      </c>
      <c r="I61" s="75"/>
    </row>
    <row r="62" spans="1:9" ht="30" customHeight="1">
      <c r="A62" s="66"/>
      <c r="B62" s="71" t="s">
        <v>70</v>
      </c>
      <c r="C62" s="58">
        <v>4366</v>
      </c>
      <c r="D62" s="54">
        <f t="shared" si="1"/>
        <v>0</v>
      </c>
      <c r="E62" s="54"/>
      <c r="F62" s="54">
        <v>20386</v>
      </c>
      <c r="G62" s="54"/>
      <c r="H62" s="52">
        <f>'4.pielikums'!B91</f>
        <v>24752</v>
      </c>
      <c r="I62" s="75"/>
    </row>
    <row r="63" spans="1:9" ht="30" customHeight="1">
      <c r="A63" s="66"/>
      <c r="B63" s="71" t="s">
        <v>71</v>
      </c>
      <c r="C63" s="58">
        <v>25610</v>
      </c>
      <c r="D63" s="54">
        <f t="shared" si="1"/>
        <v>0</v>
      </c>
      <c r="E63" s="54"/>
      <c r="F63" s="54">
        <v>44096</v>
      </c>
      <c r="G63" s="54"/>
      <c r="H63" s="52">
        <f>'4.pielikums'!B93</f>
        <v>69706</v>
      </c>
      <c r="I63" s="75"/>
    </row>
    <row r="64" spans="1:9" ht="30" customHeight="1">
      <c r="A64" s="66"/>
      <c r="B64" s="71" t="s">
        <v>72</v>
      </c>
      <c r="C64" s="58">
        <v>14147</v>
      </c>
      <c r="D64" s="54">
        <f t="shared" si="1"/>
        <v>0</v>
      </c>
      <c r="E64" s="54"/>
      <c r="F64" s="54">
        <v>23821</v>
      </c>
      <c r="G64" s="54"/>
      <c r="H64" s="52">
        <f>'4.pielikums'!B95</f>
        <v>37968</v>
      </c>
      <c r="I64" s="75"/>
    </row>
    <row r="65" spans="1:9" ht="30" customHeight="1">
      <c r="A65" s="66"/>
      <c r="B65" s="71" t="s">
        <v>73</v>
      </c>
      <c r="C65" s="58">
        <v>6916</v>
      </c>
      <c r="D65" s="54">
        <f>H65-E65-G65-F65-C65</f>
        <v>0</v>
      </c>
      <c r="E65" s="54"/>
      <c r="F65" s="54">
        <v>18272</v>
      </c>
      <c r="G65" s="54"/>
      <c r="H65" s="52">
        <f>'4.pielikums'!B96</f>
        <v>25188</v>
      </c>
      <c r="I65" s="75"/>
    </row>
    <row r="66" spans="1:9" ht="30" customHeight="1">
      <c r="A66" s="66"/>
      <c r="B66" s="71" t="s">
        <v>74</v>
      </c>
      <c r="C66" s="58"/>
      <c r="D66" s="54">
        <f t="shared" si="1"/>
        <v>0</v>
      </c>
      <c r="E66" s="54"/>
      <c r="F66" s="54">
        <v>34470</v>
      </c>
      <c r="G66" s="54"/>
      <c r="H66" s="52">
        <f>'4.pielikums'!B97</f>
        <v>34470</v>
      </c>
      <c r="I66" s="75"/>
    </row>
    <row r="67" spans="1:9" ht="30" customHeight="1">
      <c r="A67" s="66"/>
      <c r="B67" s="71" t="s">
        <v>219</v>
      </c>
      <c r="C67" s="58">
        <v>5988</v>
      </c>
      <c r="D67" s="54">
        <f t="shared" si="1"/>
        <v>0</v>
      </c>
      <c r="E67" s="54"/>
      <c r="F67" s="54">
        <v>11227</v>
      </c>
      <c r="G67" s="54"/>
      <c r="H67" s="52">
        <f>'4.pielikums'!B98</f>
        <v>17215</v>
      </c>
      <c r="I67" s="75"/>
    </row>
    <row r="68" spans="1:9" ht="30" customHeight="1">
      <c r="A68" s="66"/>
      <c r="B68" s="71" t="s">
        <v>75</v>
      </c>
      <c r="C68" s="58">
        <v>624</v>
      </c>
      <c r="D68" s="54">
        <f t="shared" si="1"/>
        <v>0</v>
      </c>
      <c r="E68" s="54"/>
      <c r="F68" s="54">
        <v>14851</v>
      </c>
      <c r="G68" s="54"/>
      <c r="H68" s="52">
        <f>'4.pielikums'!B100</f>
        <v>15475</v>
      </c>
      <c r="I68" s="75"/>
    </row>
    <row r="69" spans="1:9" ht="30" customHeight="1">
      <c r="A69" s="66"/>
      <c r="B69" s="71" t="s">
        <v>217</v>
      </c>
      <c r="C69" s="58">
        <v>21204</v>
      </c>
      <c r="D69" s="54">
        <f>H69-E69-G69-F69-C69</f>
        <v>0</v>
      </c>
      <c r="E69" s="54"/>
      <c r="F69" s="54">
        <v>48840</v>
      </c>
      <c r="G69" s="54"/>
      <c r="H69" s="52">
        <f>'4.pielikums'!B101</f>
        <v>70044</v>
      </c>
      <c r="I69" s="75"/>
    </row>
    <row r="70" spans="1:9" ht="30" customHeight="1">
      <c r="A70" s="66"/>
      <c r="B70" s="71" t="s">
        <v>218</v>
      </c>
      <c r="C70" s="58">
        <v>4426</v>
      </c>
      <c r="D70" s="54">
        <f t="shared" si="1"/>
        <v>0</v>
      </c>
      <c r="E70" s="54"/>
      <c r="F70" s="54">
        <v>35064</v>
      </c>
      <c r="G70" s="54"/>
      <c r="H70" s="52">
        <f>'4.pielikums'!B102</f>
        <v>39490</v>
      </c>
      <c r="I70" s="75"/>
    </row>
    <row r="71" spans="1:9" ht="30" customHeight="1">
      <c r="A71" s="66"/>
      <c r="B71" s="71" t="s">
        <v>220</v>
      </c>
      <c r="C71" s="58">
        <v>202031</v>
      </c>
      <c r="D71" s="54">
        <f t="shared" si="1"/>
        <v>0</v>
      </c>
      <c r="E71" s="54"/>
      <c r="F71" s="54">
        <v>70422</v>
      </c>
      <c r="G71" s="54"/>
      <c r="H71" s="52">
        <f>'4.pielikums'!B104</f>
        <v>272453</v>
      </c>
      <c r="I71" s="75"/>
    </row>
    <row r="72" spans="1:9" ht="30" customHeight="1">
      <c r="A72" s="66"/>
      <c r="B72" s="71" t="s">
        <v>222</v>
      </c>
      <c r="C72" s="58">
        <v>21990</v>
      </c>
      <c r="D72" s="54">
        <f>H72-E72-G72-F72-C72</f>
        <v>0</v>
      </c>
      <c r="E72" s="54"/>
      <c r="F72" s="54">
        <v>30329</v>
      </c>
      <c r="G72" s="54"/>
      <c r="H72" s="52">
        <f>'4.pielikums'!B105</f>
        <v>52319</v>
      </c>
      <c r="I72" s="75"/>
    </row>
    <row r="73" spans="1:9" ht="30" customHeight="1">
      <c r="A73" s="66"/>
      <c r="B73" s="71" t="s">
        <v>223</v>
      </c>
      <c r="C73" s="58">
        <v>31095</v>
      </c>
      <c r="D73" s="54">
        <f t="shared" si="1"/>
        <v>0</v>
      </c>
      <c r="E73" s="54"/>
      <c r="F73" s="54">
        <v>52426</v>
      </c>
      <c r="G73" s="54"/>
      <c r="H73" s="52">
        <f>'4.pielikums'!B106</f>
        <v>83521</v>
      </c>
      <c r="I73" s="75"/>
    </row>
    <row r="74" spans="1:9" ht="30" customHeight="1">
      <c r="A74" s="66"/>
      <c r="B74" s="71" t="s">
        <v>76</v>
      </c>
      <c r="C74" s="58">
        <v>10270</v>
      </c>
      <c r="D74" s="54">
        <f t="shared" si="1"/>
        <v>0</v>
      </c>
      <c r="E74" s="54"/>
      <c r="F74" s="54">
        <v>38359</v>
      </c>
      <c r="G74" s="54"/>
      <c r="H74" s="52">
        <f>'4.pielikums'!B107</f>
        <v>48629</v>
      </c>
      <c r="I74" s="75"/>
    </row>
    <row r="75" spans="1:9" ht="30" customHeight="1">
      <c r="A75" s="66"/>
      <c r="B75" s="71" t="s">
        <v>77</v>
      </c>
      <c r="C75" s="58">
        <v>6493</v>
      </c>
      <c r="D75" s="54">
        <f t="shared" si="1"/>
        <v>0</v>
      </c>
      <c r="E75" s="54"/>
      <c r="F75" s="54">
        <v>13853</v>
      </c>
      <c r="G75" s="54"/>
      <c r="H75" s="52">
        <f>'4.pielikums'!B109</f>
        <v>20346</v>
      </c>
      <c r="I75" s="75"/>
    </row>
    <row r="76" spans="1:9" ht="30" customHeight="1">
      <c r="A76" s="66"/>
      <c r="B76" s="71" t="s">
        <v>226</v>
      </c>
      <c r="C76" s="59">
        <v>7757</v>
      </c>
      <c r="D76" s="54">
        <f t="shared" si="1"/>
        <v>0</v>
      </c>
      <c r="E76" s="54"/>
      <c r="F76" s="54">
        <v>23929</v>
      </c>
      <c r="G76" s="54"/>
      <c r="H76" s="52">
        <f>'4.pielikums'!B110</f>
        <v>31686</v>
      </c>
      <c r="I76" s="75"/>
    </row>
    <row r="77" spans="1:9" ht="30" customHeight="1">
      <c r="A77" s="66"/>
      <c r="B77" s="71" t="s">
        <v>78</v>
      </c>
      <c r="C77" s="58">
        <v>6092</v>
      </c>
      <c r="D77" s="54">
        <f t="shared" si="1"/>
        <v>0</v>
      </c>
      <c r="E77" s="54"/>
      <c r="F77" s="54">
        <v>23719</v>
      </c>
      <c r="G77" s="54"/>
      <c r="H77" s="52">
        <f>'4.pielikums'!B111</f>
        <v>29811</v>
      </c>
      <c r="I77" s="75"/>
    </row>
    <row r="78" spans="1:9" ht="30" customHeight="1">
      <c r="A78" s="66"/>
      <c r="B78" s="71" t="s">
        <v>224</v>
      </c>
      <c r="C78" s="58">
        <v>411</v>
      </c>
      <c r="D78" s="54">
        <f t="shared" si="1"/>
        <v>0</v>
      </c>
      <c r="E78" s="54"/>
      <c r="F78" s="54">
        <v>9382</v>
      </c>
      <c r="G78" s="54"/>
      <c r="H78" s="52">
        <f>'4.pielikums'!B112</f>
        <v>9793</v>
      </c>
      <c r="I78" s="75"/>
    </row>
    <row r="79" spans="1:10" ht="30" customHeight="1">
      <c r="A79" s="66"/>
      <c r="B79" s="71" t="s">
        <v>225</v>
      </c>
      <c r="C79" s="90"/>
      <c r="D79" s="54">
        <f t="shared" si="1"/>
        <v>0</v>
      </c>
      <c r="E79" s="54"/>
      <c r="F79" s="54">
        <v>24565</v>
      </c>
      <c r="G79" s="54"/>
      <c r="H79" s="52">
        <f>'4.pielikums'!B114</f>
        <v>24565</v>
      </c>
      <c r="I79" s="75"/>
      <c r="J79" s="75"/>
    </row>
    <row r="80" spans="1:11" ht="30" customHeight="1">
      <c r="A80" s="66"/>
      <c r="B80" s="102" t="s">
        <v>730</v>
      </c>
      <c r="C80" s="59">
        <f>81384-18861</f>
        <v>62523</v>
      </c>
      <c r="D80" s="54">
        <f>H80-E80-G80-F80-C80</f>
        <v>0</v>
      </c>
      <c r="E80" s="54"/>
      <c r="F80" s="54">
        <v>236363</v>
      </c>
      <c r="G80" s="54"/>
      <c r="H80" s="52">
        <f>'4.pielikums'!B116</f>
        <v>298886</v>
      </c>
      <c r="I80" s="75"/>
      <c r="J80" s="75"/>
      <c r="K80" s="75"/>
    </row>
    <row r="81" spans="1:9" ht="15" customHeight="1">
      <c r="A81" s="66"/>
      <c r="B81" s="103" t="s">
        <v>139</v>
      </c>
      <c r="C81" s="59"/>
      <c r="D81" s="54">
        <f>H81-E81-G81-F81-C81</f>
        <v>12914</v>
      </c>
      <c r="E81" s="92">
        <v>5750</v>
      </c>
      <c r="F81" s="54"/>
      <c r="G81" s="54"/>
      <c r="H81" s="52">
        <f>'4.pielikums'!B118</f>
        <v>18664</v>
      </c>
      <c r="I81" s="75"/>
    </row>
    <row r="82" spans="1:9" ht="30" customHeight="1">
      <c r="A82" s="56"/>
      <c r="B82" s="72" t="s">
        <v>63</v>
      </c>
      <c r="C82" s="59"/>
      <c r="D82" s="54">
        <f t="shared" si="1"/>
        <v>3721</v>
      </c>
      <c r="E82" s="54"/>
      <c r="F82" s="54"/>
      <c r="G82" s="54"/>
      <c r="H82" s="52">
        <f>'4.pielikums'!B83</f>
        <v>3721</v>
      </c>
      <c r="I82" s="75"/>
    </row>
    <row r="83" spans="1:9" ht="15" customHeight="1">
      <c r="A83" s="56"/>
      <c r="B83" s="72" t="s">
        <v>18</v>
      </c>
      <c r="C83" s="59"/>
      <c r="D83" s="54">
        <f t="shared" si="4" ref="D83:D111">H83-E83-G83-F83-C83</f>
        <v>110000</v>
      </c>
      <c r="E83" s="54"/>
      <c r="F83" s="54"/>
      <c r="G83" s="54"/>
      <c r="H83" s="52">
        <f>'4.pielikums'!B81</f>
        <v>110000</v>
      </c>
      <c r="I83" s="75"/>
    </row>
    <row r="84" spans="1:9" ht="18" customHeight="1">
      <c r="A84" s="56"/>
      <c r="B84" s="72" t="s">
        <v>277</v>
      </c>
      <c r="C84" s="59"/>
      <c r="D84" s="54">
        <f t="shared" si="4"/>
        <v>50000</v>
      </c>
      <c r="E84" s="54"/>
      <c r="F84" s="54"/>
      <c r="G84" s="54"/>
      <c r="H84" s="52">
        <f>'4.pielikums'!B86</f>
        <v>50000</v>
      </c>
      <c r="I84" s="75"/>
    </row>
    <row r="85" spans="1:9" ht="19.5" customHeight="1">
      <c r="A85" s="56"/>
      <c r="B85" s="72" t="s">
        <v>760</v>
      </c>
      <c r="C85" s="59">
        <v>18861</v>
      </c>
      <c r="D85" s="54">
        <f>H85-E85-G85-F85-C85</f>
        <v>0</v>
      </c>
      <c r="E85" s="54"/>
      <c r="F85" s="54"/>
      <c r="G85" s="54">
        <v>169752</v>
      </c>
      <c r="H85" s="52">
        <f>'4.pielikums'!B488</f>
        <v>188613</v>
      </c>
      <c r="I85" s="75"/>
    </row>
    <row r="86" spans="1:9" ht="33" customHeight="1">
      <c r="A86" s="56"/>
      <c r="B86" s="72" t="s">
        <v>811</v>
      </c>
      <c r="C86" s="59"/>
      <c r="D86" s="54">
        <f>H86-E86-G86-F86-C86</f>
        <v>4000</v>
      </c>
      <c r="E86" s="54"/>
      <c r="F86" s="54">
        <v>8000</v>
      </c>
      <c r="G86" s="54"/>
      <c r="H86" s="52">
        <f>'4.pielikums'!B493</f>
        <v>12000</v>
      </c>
      <c r="I86" s="75"/>
    </row>
    <row r="87" spans="1:9" ht="59.45" customHeight="1">
      <c r="A87" s="60"/>
      <c r="B87" s="104" t="s">
        <v>251</v>
      </c>
      <c r="C87" s="58"/>
      <c r="D87" s="54">
        <f>H87-E87-G87-F87-C87</f>
        <v>0</v>
      </c>
      <c r="E87" s="54"/>
      <c r="F87" s="54">
        <v>46467</v>
      </c>
      <c r="G87" s="54">
        <v>140952</v>
      </c>
      <c r="H87" s="52">
        <f>'4.pielikums'!B119</f>
        <v>187419</v>
      </c>
      <c r="I87" s="75"/>
    </row>
    <row r="88" spans="1:9" ht="23.45" customHeight="1">
      <c r="A88" s="60"/>
      <c r="B88" s="104" t="s">
        <v>863</v>
      </c>
      <c r="C88" s="58"/>
      <c r="D88" s="54">
        <f>H88-E88-G88-F88-C88</f>
        <v>11582</v>
      </c>
      <c r="E88" s="54"/>
      <c r="F88" s="92">
        <f>40280</f>
        <v>40280</v>
      </c>
      <c r="G88" s="54"/>
      <c r="H88" s="52">
        <f>'4.pielikums'!B508</f>
        <v>51862</v>
      </c>
      <c r="I88" s="273"/>
    </row>
    <row r="89" spans="1:9" ht="15" customHeight="1">
      <c r="A89" s="15" t="s">
        <v>278</v>
      </c>
      <c r="B89" s="85" t="s">
        <v>279</v>
      </c>
      <c r="C89" s="63">
        <f t="shared" si="5" ref="C89:H89">SUM(C90:C111)</f>
        <v>28093</v>
      </c>
      <c r="D89" s="63">
        <f t="shared" si="5"/>
        <v>31570</v>
      </c>
      <c r="E89" s="63">
        <f t="shared" si="5"/>
        <v>140128</v>
      </c>
      <c r="F89" s="63">
        <f t="shared" si="5"/>
        <v>0</v>
      </c>
      <c r="G89" s="63">
        <f t="shared" si="5"/>
        <v>0</v>
      </c>
      <c r="H89" s="52">
        <f t="shared" si="5"/>
        <v>199791</v>
      </c>
      <c r="I89" s="273"/>
    </row>
    <row r="90" spans="1:9" ht="30" customHeight="1">
      <c r="A90" s="56"/>
      <c r="B90" s="72" t="s">
        <v>79</v>
      </c>
      <c r="C90" s="59">
        <v>28093</v>
      </c>
      <c r="D90" s="54">
        <f>H90-E90-G90-F90-C90</f>
        <v>0</v>
      </c>
      <c r="E90" s="54">
        <v>38000</v>
      </c>
      <c r="F90" s="54"/>
      <c r="G90" s="54"/>
      <c r="H90" s="52">
        <f>'4.pielikums'!B120</f>
        <v>66093</v>
      </c>
      <c r="I90" s="75"/>
    </row>
    <row r="91" spans="1:9" ht="30" customHeight="1">
      <c r="A91" s="56"/>
      <c r="B91" s="105" t="s">
        <v>331</v>
      </c>
      <c r="C91" s="59"/>
      <c r="D91" s="54">
        <f>H91-E91-G91-F91-C91</f>
        <v>-500</v>
      </c>
      <c r="E91" s="92">
        <v>7712</v>
      </c>
      <c r="F91" s="54"/>
      <c r="G91" s="54"/>
      <c r="H91" s="52">
        <f>'4.pielikums'!B121</f>
        <v>7212</v>
      </c>
      <c r="I91" s="75"/>
    </row>
    <row r="92" spans="1:9" s="74" customFormat="1" ht="30" customHeight="1">
      <c r="A92" s="79"/>
      <c r="B92" s="105" t="s">
        <v>720</v>
      </c>
      <c r="C92" s="58"/>
      <c r="D92" s="53">
        <f t="shared" si="4"/>
        <v>-622</v>
      </c>
      <c r="E92" s="92">
        <v>2845</v>
      </c>
      <c r="F92" s="53"/>
      <c r="G92" s="53"/>
      <c r="H92" s="127">
        <f>'4.pielikums'!B123</f>
        <v>2223</v>
      </c>
      <c r="I92" s="75"/>
    </row>
    <row r="93" spans="1:9" ht="30" customHeight="1">
      <c r="A93" s="56"/>
      <c r="B93" s="103" t="s">
        <v>253</v>
      </c>
      <c r="C93" s="59"/>
      <c r="D93" s="54">
        <f t="shared" si="4"/>
        <v>62</v>
      </c>
      <c r="E93" s="92">
        <v>4230</v>
      </c>
      <c r="F93" s="54"/>
      <c r="G93" s="54"/>
      <c r="H93" s="52">
        <f>'4.pielikums'!B125</f>
        <v>4292</v>
      </c>
      <c r="I93" s="75"/>
    </row>
    <row r="94" spans="1:9" s="74" customFormat="1" ht="30" customHeight="1">
      <c r="A94" s="79"/>
      <c r="B94" s="105" t="s">
        <v>721</v>
      </c>
      <c r="C94" s="58"/>
      <c r="D94" s="53">
        <f t="shared" si="4"/>
        <v>687</v>
      </c>
      <c r="E94" s="99">
        <v>3572</v>
      </c>
      <c r="F94" s="53"/>
      <c r="G94" s="53"/>
      <c r="H94" s="127">
        <f>'4.pielikums'!B126</f>
        <v>4259</v>
      </c>
      <c r="I94" s="75"/>
    </row>
    <row r="95" spans="1:9" ht="30" customHeight="1">
      <c r="A95" s="56"/>
      <c r="B95" s="103" t="s">
        <v>245</v>
      </c>
      <c r="C95" s="59"/>
      <c r="D95" s="54">
        <f t="shared" si="4"/>
        <v>950</v>
      </c>
      <c r="E95" s="92">
        <v>2718</v>
      </c>
      <c r="F95" s="54"/>
      <c r="G95" s="54"/>
      <c r="H95" s="52">
        <f>'4.pielikums'!B128</f>
        <v>3668</v>
      </c>
      <c r="I95" s="75"/>
    </row>
    <row r="96" spans="1:9" ht="30" customHeight="1">
      <c r="A96" s="56"/>
      <c r="B96" s="103" t="s">
        <v>248</v>
      </c>
      <c r="C96" s="59"/>
      <c r="D96" s="54">
        <f t="shared" si="4"/>
        <v>0</v>
      </c>
      <c r="E96" s="92">
        <v>6752</v>
      </c>
      <c r="F96" s="54"/>
      <c r="G96" s="54"/>
      <c r="H96" s="52">
        <f>'4.pielikums'!B129</f>
        <v>6752</v>
      </c>
      <c r="I96" s="75"/>
    </row>
    <row r="97" spans="1:9" ht="30" customHeight="1">
      <c r="A97" s="56"/>
      <c r="B97" s="103" t="s">
        <v>144</v>
      </c>
      <c r="C97" s="59"/>
      <c r="D97" s="54">
        <f t="shared" si="4"/>
        <v>0</v>
      </c>
      <c r="E97" s="92">
        <v>4700</v>
      </c>
      <c r="F97" s="54"/>
      <c r="G97" s="54"/>
      <c r="H97" s="52">
        <f>'4.pielikums'!B130</f>
        <v>4700</v>
      </c>
      <c r="I97" s="75"/>
    </row>
    <row r="98" spans="1:9" ht="30" customHeight="1">
      <c r="A98" s="56"/>
      <c r="B98" s="71" t="s">
        <v>332</v>
      </c>
      <c r="C98" s="59"/>
      <c r="D98" s="54">
        <f>H98-E98-G98-F98-C98</f>
        <v>0</v>
      </c>
      <c r="E98" s="92">
        <v>8550</v>
      </c>
      <c r="F98" s="54"/>
      <c r="G98" s="54"/>
      <c r="H98" s="52">
        <f>'4.pielikums'!B131</f>
        <v>8550</v>
      </c>
      <c r="I98" s="75"/>
    </row>
    <row r="99" spans="1:9" s="74" customFormat="1" ht="30" customHeight="1">
      <c r="A99" s="79"/>
      <c r="B99" s="71" t="s">
        <v>722</v>
      </c>
      <c r="C99" s="58"/>
      <c r="D99" s="53">
        <f t="shared" si="4"/>
        <v>1732</v>
      </c>
      <c r="E99" s="99">
        <v>1270</v>
      </c>
      <c r="F99" s="53"/>
      <c r="G99" s="53"/>
      <c r="H99" s="127">
        <f>'4.pielikums'!B132</f>
        <v>3002</v>
      </c>
      <c r="I99" s="75"/>
    </row>
    <row r="100" spans="1:9" ht="30" customHeight="1">
      <c r="A100" s="56"/>
      <c r="B100" s="103" t="s">
        <v>141</v>
      </c>
      <c r="C100" s="59"/>
      <c r="D100" s="54">
        <f t="shared" si="4"/>
        <v>3306</v>
      </c>
      <c r="E100" s="99">
        <v>6780</v>
      </c>
      <c r="F100" s="54"/>
      <c r="G100" s="54"/>
      <c r="H100" s="52">
        <f>'4.pielikums'!B133</f>
        <v>10086</v>
      </c>
      <c r="I100" s="75"/>
    </row>
    <row r="101" spans="1:9" ht="30" customHeight="1">
      <c r="A101" s="56"/>
      <c r="B101" s="103" t="s">
        <v>143</v>
      </c>
      <c r="C101" s="59"/>
      <c r="D101" s="54">
        <f t="shared" si="4"/>
        <v>0</v>
      </c>
      <c r="E101" s="92">
        <v>1010</v>
      </c>
      <c r="F101" s="54"/>
      <c r="G101" s="54"/>
      <c r="H101" s="52">
        <f>'4.pielikums'!B134</f>
        <v>1010</v>
      </c>
      <c r="I101" s="75"/>
    </row>
    <row r="102" spans="1:9" ht="30" customHeight="1">
      <c r="A102" s="56"/>
      <c r="B102" s="71" t="s">
        <v>330</v>
      </c>
      <c r="C102" s="58"/>
      <c r="D102" s="54">
        <f t="shared" si="4"/>
        <v>2437</v>
      </c>
      <c r="E102" s="92">
        <v>6273</v>
      </c>
      <c r="F102" s="54"/>
      <c r="G102" s="54"/>
      <c r="H102" s="52">
        <f>'4.pielikums'!B135</f>
        <v>8710</v>
      </c>
      <c r="I102" s="75"/>
    </row>
    <row r="103" spans="1:9" ht="30" customHeight="1">
      <c r="A103" s="56"/>
      <c r="B103" s="103" t="s">
        <v>255</v>
      </c>
      <c r="C103" s="59"/>
      <c r="D103" s="54">
        <f t="shared" si="4"/>
        <v>4370</v>
      </c>
      <c r="E103" s="92">
        <v>4286</v>
      </c>
      <c r="F103" s="54"/>
      <c r="G103" s="54"/>
      <c r="H103" s="52">
        <f>'4.pielikums'!B137</f>
        <v>8656</v>
      </c>
      <c r="I103" s="75"/>
    </row>
    <row r="104" spans="1:9" ht="30" customHeight="1">
      <c r="A104" s="56"/>
      <c r="B104" s="103" t="s">
        <v>142</v>
      </c>
      <c r="C104" s="59"/>
      <c r="D104" s="54">
        <f t="shared" si="4"/>
        <v>0</v>
      </c>
      <c r="E104" s="92">
        <v>720</v>
      </c>
      <c r="F104" s="54"/>
      <c r="G104" s="54"/>
      <c r="H104" s="52">
        <f>'4.pielikums'!B139</f>
        <v>720</v>
      </c>
      <c r="I104" s="75"/>
    </row>
    <row r="105" spans="1:9" ht="30" customHeight="1">
      <c r="A105" s="56"/>
      <c r="B105" s="103" t="s">
        <v>145</v>
      </c>
      <c r="C105" s="59"/>
      <c r="D105" s="54">
        <f t="shared" si="4"/>
        <v>1508</v>
      </c>
      <c r="E105" s="92">
        <v>2000</v>
      </c>
      <c r="F105" s="54"/>
      <c r="G105" s="54"/>
      <c r="H105" s="52">
        <f>'4.pielikums'!B140</f>
        <v>3508</v>
      </c>
      <c r="I105" s="75"/>
    </row>
    <row r="106" spans="1:9" ht="30" customHeight="1">
      <c r="A106" s="56"/>
      <c r="B106" s="103" t="s">
        <v>215</v>
      </c>
      <c r="C106" s="59"/>
      <c r="D106" s="54">
        <f t="shared" si="4"/>
        <v>9514</v>
      </c>
      <c r="E106" s="92">
        <f>17550</f>
        <v>17550</v>
      </c>
      <c r="F106" s="54"/>
      <c r="G106" s="54"/>
      <c r="H106" s="52">
        <f>'4.pielikums'!B141</f>
        <v>27064</v>
      </c>
      <c r="I106" s="75"/>
    </row>
    <row r="107" spans="1:9" s="74" customFormat="1" ht="30" customHeight="1">
      <c r="A107" s="79"/>
      <c r="B107" s="103" t="s">
        <v>723</v>
      </c>
      <c r="C107" s="58"/>
      <c r="D107" s="53">
        <f t="shared" si="4"/>
        <v>0</v>
      </c>
      <c r="E107" s="99">
        <v>6665</v>
      </c>
      <c r="F107" s="53"/>
      <c r="G107" s="53"/>
      <c r="H107" s="127">
        <f>'4.pielikums'!B143</f>
        <v>6665</v>
      </c>
      <c r="I107" s="75"/>
    </row>
    <row r="108" spans="1:9" ht="30" customHeight="1">
      <c r="A108" s="56"/>
      <c r="B108" s="103" t="s">
        <v>146</v>
      </c>
      <c r="C108" s="59"/>
      <c r="D108" s="54">
        <f t="shared" si="4"/>
        <v>376</v>
      </c>
      <c r="E108" s="92">
        <v>7985</v>
      </c>
      <c r="F108" s="54"/>
      <c r="G108" s="54"/>
      <c r="H108" s="52">
        <f>'4.pielikums'!B144</f>
        <v>8361</v>
      </c>
      <c r="I108" s="75"/>
    </row>
    <row r="109" spans="1:9" ht="30" customHeight="1">
      <c r="A109" s="56"/>
      <c r="B109" s="103" t="s">
        <v>140</v>
      </c>
      <c r="C109" s="59"/>
      <c r="D109" s="54">
        <f t="shared" si="4"/>
        <v>1794</v>
      </c>
      <c r="E109" s="92">
        <f>3510</f>
        <v>3510</v>
      </c>
      <c r="F109" s="54"/>
      <c r="G109" s="54"/>
      <c r="H109" s="52">
        <f>'4.pielikums'!B145</f>
        <v>5304</v>
      </c>
      <c r="I109" s="75"/>
    </row>
    <row r="110" spans="1:9" ht="51.6" customHeight="1">
      <c r="A110" s="56"/>
      <c r="B110" s="103" t="s">
        <v>741</v>
      </c>
      <c r="C110" s="59"/>
      <c r="D110" s="54">
        <f t="shared" si="4"/>
        <v>5956</v>
      </c>
      <c r="E110" s="92"/>
      <c r="F110" s="54"/>
      <c r="G110" s="54"/>
      <c r="H110" s="52">
        <f>'4.pielikums'!B491</f>
        <v>5956</v>
      </c>
      <c r="I110" s="75"/>
    </row>
    <row r="111" spans="1:9" ht="51.6" customHeight="1">
      <c r="A111" s="56"/>
      <c r="B111" s="103" t="s">
        <v>747</v>
      </c>
      <c r="C111" s="59"/>
      <c r="D111" s="54">
        <f t="shared" si="4"/>
        <v>0</v>
      </c>
      <c r="E111" s="54">
        <v>3000</v>
      </c>
      <c r="F111" s="54"/>
      <c r="G111" s="54"/>
      <c r="H111" s="52">
        <f>'4.pielikums'!B487</f>
        <v>3000</v>
      </c>
      <c r="I111" s="75"/>
    </row>
    <row r="112" spans="1:9" ht="30" customHeight="1">
      <c r="A112" s="67" t="s">
        <v>280</v>
      </c>
      <c r="B112" s="85" t="s">
        <v>281</v>
      </c>
      <c r="C112" s="63">
        <f t="shared" si="6" ref="C112:H112">C113+C115</f>
        <v>115000</v>
      </c>
      <c r="D112" s="63">
        <f t="shared" si="6"/>
        <v>2622075</v>
      </c>
      <c r="E112" s="63">
        <f t="shared" si="6"/>
        <v>2181638</v>
      </c>
      <c r="F112" s="63">
        <f>F113+F115</f>
        <v>11420</v>
      </c>
      <c r="G112" s="63">
        <f t="shared" si="6"/>
        <v>380947</v>
      </c>
      <c r="H112" s="52">
        <f t="shared" si="6"/>
        <v>5311080</v>
      </c>
      <c r="I112" s="273"/>
    </row>
    <row r="113" spans="1:9" ht="15" customHeight="1">
      <c r="A113" s="65"/>
      <c r="B113" s="83" t="s">
        <v>282</v>
      </c>
      <c r="C113" s="63">
        <f t="shared" si="7" ref="C113:H113">SUM(C114:C114)</f>
        <v>0</v>
      </c>
      <c r="D113" s="63">
        <f t="shared" si="7"/>
        <v>86173</v>
      </c>
      <c r="E113" s="63">
        <f t="shared" si="7"/>
        <v>3669</v>
      </c>
      <c r="F113" s="63">
        <f t="shared" si="7"/>
        <v>0</v>
      </c>
      <c r="G113" s="63">
        <f t="shared" si="7"/>
        <v>0</v>
      </c>
      <c r="H113" s="52">
        <f t="shared" si="7"/>
        <v>89842</v>
      </c>
      <c r="I113" s="75"/>
    </row>
    <row r="114" spans="1:9" ht="15" customHeight="1">
      <c r="A114" s="15"/>
      <c r="B114" s="95" t="s">
        <v>19</v>
      </c>
      <c r="C114" s="64"/>
      <c r="D114" s="54">
        <f t="shared" si="8" ref="D114:D184">H114-E114-G114-F114-C114</f>
        <v>86173</v>
      </c>
      <c r="E114" s="92">
        <v>3669</v>
      </c>
      <c r="F114" s="54"/>
      <c r="G114" s="54"/>
      <c r="H114" s="52">
        <f>'4.pielikums'!B147</f>
        <v>89842</v>
      </c>
      <c r="I114" s="75"/>
    </row>
    <row r="115" spans="1:9" ht="31.5">
      <c r="A115" s="56"/>
      <c r="B115" s="85" t="s">
        <v>283</v>
      </c>
      <c r="C115" s="63">
        <f>SUM(C116:C180)</f>
        <v>115000</v>
      </c>
      <c r="D115" s="63">
        <f>SUM(D116:D180)</f>
        <v>2535902</v>
      </c>
      <c r="E115" s="63">
        <f>SUM(E116:E181)</f>
        <v>2177969</v>
      </c>
      <c r="F115" s="63">
        <f>SUM(F116:F181)</f>
        <v>11420</v>
      </c>
      <c r="G115" s="63">
        <f>SUM(G116:G180)</f>
        <v>380947</v>
      </c>
      <c r="H115" s="52">
        <f>SUM(H116:H181)</f>
        <v>5221238</v>
      </c>
      <c r="I115" s="273"/>
    </row>
    <row r="116" spans="1:9" s="74" customFormat="1" ht="15" customHeight="1">
      <c r="A116" s="82"/>
      <c r="B116" s="72" t="s">
        <v>189</v>
      </c>
      <c r="C116" s="58"/>
      <c r="D116" s="53">
        <f t="shared" si="8"/>
        <v>74682</v>
      </c>
      <c r="E116" s="53">
        <v>21000</v>
      </c>
      <c r="F116" s="53"/>
      <c r="G116" s="53"/>
      <c r="H116" s="127">
        <f>'4.pielikums'!B149</f>
        <v>95682</v>
      </c>
      <c r="I116" s="75"/>
    </row>
    <row r="117" spans="1:9" s="74" customFormat="1" ht="15" customHeight="1">
      <c r="A117" s="82"/>
      <c r="B117" s="72" t="s">
        <v>193</v>
      </c>
      <c r="C117" s="58"/>
      <c r="D117" s="53">
        <f>H117-E117-G117-F117-C117</f>
        <v>58549</v>
      </c>
      <c r="E117" s="53"/>
      <c r="F117" s="53"/>
      <c r="G117" s="53"/>
      <c r="H117" s="127">
        <f>'4.pielikums'!B150</f>
        <v>58549</v>
      </c>
      <c r="I117" s="75"/>
    </row>
    <row r="118" spans="1:9" s="74" customFormat="1" ht="17.25" customHeight="1">
      <c r="A118" s="82"/>
      <c r="B118" s="72" t="s">
        <v>746</v>
      </c>
      <c r="C118" s="58"/>
      <c r="D118" s="53">
        <f>H118-E118-G118-F118-C118</f>
        <v>366823</v>
      </c>
      <c r="E118" s="53"/>
      <c r="F118" s="53"/>
      <c r="G118" s="53"/>
      <c r="H118" s="127">
        <f>'4.pielikums'!B189</f>
        <v>366823</v>
      </c>
      <c r="I118" s="75"/>
    </row>
    <row r="119" spans="1:9" ht="15" customHeight="1">
      <c r="A119" s="56"/>
      <c r="B119" s="95" t="s">
        <v>285</v>
      </c>
      <c r="C119" s="64">
        <v>115000</v>
      </c>
      <c r="D119" s="54">
        <f t="shared" si="8"/>
        <v>0</v>
      </c>
      <c r="E119" s="54">
        <f>231618+282536+217219+908592+9380</f>
        <v>1649345</v>
      </c>
      <c r="F119" s="54"/>
      <c r="G119" s="54"/>
      <c r="H119" s="52">
        <f>'4.pielikums'!B183</f>
        <v>1764345</v>
      </c>
      <c r="I119" s="75"/>
    </row>
    <row r="120" spans="1:9" ht="21.75" customHeight="1">
      <c r="A120" s="60"/>
      <c r="B120" s="94" t="s">
        <v>20</v>
      </c>
      <c r="C120" s="59"/>
      <c r="D120" s="54">
        <f>H120-E120-G120-F120-C120</f>
        <v>36841</v>
      </c>
      <c r="E120" s="92">
        <v>510</v>
      </c>
      <c r="F120" s="54"/>
      <c r="G120" s="54"/>
      <c r="H120" s="52">
        <f>'4.pielikums'!B151</f>
        <v>37351</v>
      </c>
      <c r="I120" s="75"/>
    </row>
    <row r="121" spans="1:9" ht="30" customHeight="1">
      <c r="A121" s="56"/>
      <c r="B121" s="94" t="s">
        <v>284</v>
      </c>
      <c r="C121" s="59"/>
      <c r="D121" s="54">
        <f t="shared" si="8"/>
        <v>85431</v>
      </c>
      <c r="E121" s="92">
        <f>2280</f>
        <v>2280</v>
      </c>
      <c r="F121" s="54"/>
      <c r="G121" s="54"/>
      <c r="H121" s="52">
        <f>'4.pielikums'!B153</f>
        <v>87711</v>
      </c>
      <c r="I121" s="75"/>
    </row>
    <row r="122" spans="1:9" ht="28.15" customHeight="1">
      <c r="A122" s="56"/>
      <c r="B122" s="94" t="s">
        <v>21</v>
      </c>
      <c r="C122" s="59"/>
      <c r="D122" s="54">
        <f>H122-E122-G122-F122-C122</f>
        <v>36294</v>
      </c>
      <c r="E122" s="99">
        <v>170</v>
      </c>
      <c r="F122" s="54"/>
      <c r="G122" s="54"/>
      <c r="H122" s="52">
        <f>'4.pielikums'!B155</f>
        <v>36464</v>
      </c>
      <c r="I122" s="75"/>
    </row>
    <row r="123" spans="1:9" ht="30" customHeight="1">
      <c r="A123" s="56"/>
      <c r="B123" s="94" t="s">
        <v>22</v>
      </c>
      <c r="C123" s="59"/>
      <c r="D123" s="54">
        <f t="shared" si="8"/>
        <v>59901</v>
      </c>
      <c r="E123" s="92">
        <v>1838</v>
      </c>
      <c r="F123" s="54"/>
      <c r="G123" s="54"/>
      <c r="H123" s="52">
        <f>'4.pielikums'!B157</f>
        <v>61739</v>
      </c>
      <c r="I123" s="75"/>
    </row>
    <row r="124" spans="1:9" ht="32.45" customHeight="1">
      <c r="A124" s="56"/>
      <c r="B124" s="94" t="s">
        <v>23</v>
      </c>
      <c r="C124" s="59"/>
      <c r="D124" s="54">
        <f t="shared" si="8"/>
        <v>25350</v>
      </c>
      <c r="E124" s="92">
        <f>2491+2191</f>
        <v>4682</v>
      </c>
      <c r="F124" s="54"/>
      <c r="G124" s="54"/>
      <c r="H124" s="52">
        <f>'4.pielikums'!B159</f>
        <v>30032</v>
      </c>
      <c r="I124" s="75"/>
    </row>
    <row r="125" spans="1:9" ht="29.45" customHeight="1">
      <c r="A125" s="56"/>
      <c r="B125" s="94" t="s">
        <v>24</v>
      </c>
      <c r="C125" s="59"/>
      <c r="D125" s="54">
        <f t="shared" si="8"/>
        <v>74171</v>
      </c>
      <c r="E125" s="92">
        <v>225</v>
      </c>
      <c r="F125" s="54"/>
      <c r="G125" s="54"/>
      <c r="H125" s="52">
        <f>'4.pielikums'!B161</f>
        <v>74396</v>
      </c>
      <c r="I125" s="75"/>
    </row>
    <row r="126" spans="1:9" ht="30" customHeight="1">
      <c r="A126" s="56"/>
      <c r="B126" s="106" t="s">
        <v>333</v>
      </c>
      <c r="C126" s="59"/>
      <c r="D126" s="54">
        <f t="shared" si="8"/>
        <v>31893</v>
      </c>
      <c r="E126" s="92">
        <v>59525</v>
      </c>
      <c r="F126" s="54"/>
      <c r="G126" s="54"/>
      <c r="H126" s="52">
        <f>'4.pielikums'!B163</f>
        <v>91418</v>
      </c>
      <c r="I126" s="75"/>
    </row>
    <row r="127" spans="1:9" ht="30" customHeight="1">
      <c r="A127" s="56"/>
      <c r="B127" s="107" t="s">
        <v>148</v>
      </c>
      <c r="C127" s="59"/>
      <c r="D127" s="54">
        <f>H127-E127-G127-F127-C127</f>
        <v>93459</v>
      </c>
      <c r="E127" s="92">
        <v>3590</v>
      </c>
      <c r="F127" s="54"/>
      <c r="G127" s="54"/>
      <c r="H127" s="52">
        <f>'4.pielikums'!B165</f>
        <v>97049</v>
      </c>
      <c r="I127" s="75"/>
    </row>
    <row r="128" spans="1:9" ht="30" customHeight="1">
      <c r="A128" s="56"/>
      <c r="B128" s="94" t="s">
        <v>25</v>
      </c>
      <c r="C128" s="59"/>
      <c r="D128" s="54">
        <f t="shared" si="8"/>
        <v>53855</v>
      </c>
      <c r="E128" s="92">
        <v>3145</v>
      </c>
      <c r="F128" s="54"/>
      <c r="G128" s="54"/>
      <c r="H128" s="52">
        <f>'4.pielikums'!B167</f>
        <v>57000</v>
      </c>
      <c r="I128" s="75"/>
    </row>
    <row r="129" spans="1:9" ht="30" customHeight="1">
      <c r="A129" s="56"/>
      <c r="B129" s="106" t="s">
        <v>334</v>
      </c>
      <c r="C129" s="59"/>
      <c r="D129" s="54">
        <f t="shared" si="8"/>
        <v>11067</v>
      </c>
      <c r="E129" s="92"/>
      <c r="F129" s="54"/>
      <c r="G129" s="54"/>
      <c r="H129" s="52">
        <f>'4.pielikums'!B169</f>
        <v>11067</v>
      </c>
      <c r="I129" s="75"/>
    </row>
    <row r="130" spans="1:9" ht="15" customHeight="1">
      <c r="A130" s="56"/>
      <c r="B130" s="107" t="s">
        <v>149</v>
      </c>
      <c r="C130" s="59"/>
      <c r="D130" s="54">
        <f t="shared" si="8"/>
        <v>163594</v>
      </c>
      <c r="E130" s="92">
        <v>3341</v>
      </c>
      <c r="F130" s="54"/>
      <c r="G130" s="54"/>
      <c r="H130" s="52">
        <f>'4.pielikums'!B171</f>
        <v>166935</v>
      </c>
      <c r="I130" s="75"/>
    </row>
    <row r="131" spans="1:9" ht="34.15" customHeight="1">
      <c r="A131" s="56"/>
      <c r="B131" s="106" t="s">
        <v>335</v>
      </c>
      <c r="C131" s="59"/>
      <c r="D131" s="54">
        <f t="shared" si="8"/>
        <v>8720</v>
      </c>
      <c r="E131" s="92">
        <v>3530</v>
      </c>
      <c r="F131" s="54"/>
      <c r="G131" s="54"/>
      <c r="H131" s="52">
        <f>'4.pielikums'!B173</f>
        <v>12250</v>
      </c>
      <c r="I131" s="75"/>
    </row>
    <row r="132" spans="1:9" ht="29.45" customHeight="1">
      <c r="A132" s="56"/>
      <c r="B132" s="94" t="s">
        <v>26</v>
      </c>
      <c r="C132" s="59"/>
      <c r="D132" s="54">
        <f t="shared" si="8"/>
        <v>82133</v>
      </c>
      <c r="E132" s="92">
        <v>14016</v>
      </c>
      <c r="F132" s="54"/>
      <c r="G132" s="54"/>
      <c r="H132" s="52">
        <f>'4.pielikums'!B175</f>
        <v>96149</v>
      </c>
      <c r="I132" s="75"/>
    </row>
    <row r="133" spans="1:9" s="74" customFormat="1" ht="30" customHeight="1">
      <c r="A133" s="79"/>
      <c r="B133" s="94" t="s">
        <v>27</v>
      </c>
      <c r="C133" s="58"/>
      <c r="D133" s="53">
        <f t="shared" si="8"/>
        <v>45339</v>
      </c>
      <c r="E133" s="99"/>
      <c r="F133" s="53"/>
      <c r="G133" s="53"/>
      <c r="H133" s="127">
        <f>'4.pielikums'!B177</f>
        <v>45339</v>
      </c>
      <c r="I133" s="75"/>
    </row>
    <row r="134" spans="1:9" ht="33.6" customHeight="1">
      <c r="A134" s="56"/>
      <c r="B134" s="106" t="s">
        <v>198</v>
      </c>
      <c r="C134" s="59"/>
      <c r="D134" s="54">
        <f t="shared" si="8"/>
        <v>6179</v>
      </c>
      <c r="E134" s="92">
        <v>1400</v>
      </c>
      <c r="F134" s="54"/>
      <c r="G134" s="54"/>
      <c r="H134" s="52">
        <f>'4.pielikums'!B179</f>
        <v>7579</v>
      </c>
      <c r="I134" s="75"/>
    </row>
    <row r="135" spans="1:9" ht="31.9" customHeight="1">
      <c r="A135" s="56"/>
      <c r="B135" s="94" t="s">
        <v>28</v>
      </c>
      <c r="C135" s="59"/>
      <c r="D135" s="54">
        <f t="shared" si="8"/>
        <v>102195</v>
      </c>
      <c r="E135" s="92">
        <v>586</v>
      </c>
      <c r="F135" s="54"/>
      <c r="G135" s="54"/>
      <c r="H135" s="52">
        <f>'4.pielikums'!B181</f>
        <v>102781</v>
      </c>
      <c r="I135" s="75"/>
    </row>
    <row r="136" spans="1:9" ht="30" customHeight="1">
      <c r="A136" s="56"/>
      <c r="B136" s="106" t="s">
        <v>182</v>
      </c>
      <c r="C136" s="59"/>
      <c r="D136" s="54">
        <f>H136-E136-G136-F136-C136</f>
        <v>65807</v>
      </c>
      <c r="E136" s="92">
        <v>17000</v>
      </c>
      <c r="F136" s="54"/>
      <c r="G136" s="54"/>
      <c r="H136" s="52">
        <f>'4.pielikums'!B184</f>
        <v>82807</v>
      </c>
      <c r="I136" s="75"/>
    </row>
    <row r="137" spans="1:9" ht="30" customHeight="1">
      <c r="A137" s="56"/>
      <c r="B137" s="106" t="s">
        <v>120</v>
      </c>
      <c r="C137" s="59"/>
      <c r="D137" s="54">
        <f t="shared" si="8"/>
        <v>0</v>
      </c>
      <c r="E137" s="92">
        <v>7500</v>
      </c>
      <c r="F137" s="54"/>
      <c r="G137" s="54"/>
      <c r="H137" s="52">
        <f>'4.pielikums'!B185</f>
        <v>7500</v>
      </c>
      <c r="I137" s="75"/>
    </row>
    <row r="138" spans="1:9" ht="30" customHeight="1">
      <c r="A138" s="56"/>
      <c r="B138" s="106" t="s">
        <v>126</v>
      </c>
      <c r="C138" s="59"/>
      <c r="D138" s="54">
        <f t="shared" si="8"/>
        <v>0</v>
      </c>
      <c r="E138" s="92">
        <v>1000</v>
      </c>
      <c r="F138" s="54"/>
      <c r="G138" s="54"/>
      <c r="H138" s="52">
        <f>'4.pielikums'!B186</f>
        <v>1000</v>
      </c>
      <c r="I138" s="75"/>
    </row>
    <row r="139" spans="1:9" ht="30" customHeight="1">
      <c r="A139" s="56"/>
      <c r="B139" s="106" t="s">
        <v>121</v>
      </c>
      <c r="C139" s="59"/>
      <c r="D139" s="54">
        <f t="shared" si="8"/>
        <v>0</v>
      </c>
      <c r="E139" s="92">
        <f>2100+7727</f>
        <v>9827</v>
      </c>
      <c r="F139" s="54"/>
      <c r="G139" s="54"/>
      <c r="H139" s="52">
        <f>'4.pielikums'!B187</f>
        <v>9827</v>
      </c>
      <c r="I139" s="75"/>
    </row>
    <row r="140" spans="1:9" ht="30" customHeight="1">
      <c r="A140" s="56"/>
      <c r="B140" s="103" t="s">
        <v>123</v>
      </c>
      <c r="C140" s="59"/>
      <c r="D140" s="54">
        <f t="shared" si="8"/>
        <v>0</v>
      </c>
      <c r="E140" s="92">
        <v>3200</v>
      </c>
      <c r="F140" s="54"/>
      <c r="G140" s="54"/>
      <c r="H140" s="52">
        <f>'4.pielikums'!B188</f>
        <v>3200</v>
      </c>
      <c r="I140" s="75"/>
    </row>
    <row r="141" spans="1:9" ht="30" customHeight="1">
      <c r="A141" s="56"/>
      <c r="B141" s="72" t="s">
        <v>732</v>
      </c>
      <c r="C141" s="59"/>
      <c r="D141" s="54">
        <f t="shared" si="8"/>
        <v>120840</v>
      </c>
      <c r="E141" s="92"/>
      <c r="F141" s="54"/>
      <c r="G141" s="54"/>
      <c r="H141" s="52">
        <f>'4.pielikums'!B191</f>
        <v>120840</v>
      </c>
      <c r="I141" s="75"/>
    </row>
    <row r="142" spans="1:9" ht="30" customHeight="1">
      <c r="A142" s="56"/>
      <c r="B142" s="103" t="s">
        <v>106</v>
      </c>
      <c r="C142" s="59"/>
      <c r="D142" s="54">
        <f t="shared" si="8"/>
        <v>19050</v>
      </c>
      <c r="E142" s="92"/>
      <c r="F142" s="54"/>
      <c r="G142" s="54"/>
      <c r="H142" s="52">
        <f>'4.pielikums'!B193</f>
        <v>19050</v>
      </c>
      <c r="I142" s="75"/>
    </row>
    <row r="143" spans="1:9" ht="30" customHeight="1">
      <c r="A143" s="56"/>
      <c r="B143" s="103" t="s">
        <v>101</v>
      </c>
      <c r="C143" s="59"/>
      <c r="D143" s="54">
        <f t="shared" si="8"/>
        <v>9135</v>
      </c>
      <c r="E143" s="92"/>
      <c r="F143" s="54"/>
      <c r="G143" s="54"/>
      <c r="H143" s="52">
        <f>'4.pielikums'!B195</f>
        <v>9135</v>
      </c>
      <c r="I143" s="75"/>
    </row>
    <row r="144" spans="1:9" ht="30" customHeight="1">
      <c r="A144" s="56"/>
      <c r="B144" s="103" t="s">
        <v>108</v>
      </c>
      <c r="C144" s="59"/>
      <c r="D144" s="54">
        <f t="shared" si="8"/>
        <v>23697</v>
      </c>
      <c r="E144" s="92">
        <v>255</v>
      </c>
      <c r="F144" s="54"/>
      <c r="G144" s="54"/>
      <c r="H144" s="52">
        <f>'4.pielikums'!B197</f>
        <v>23952</v>
      </c>
      <c r="I144" s="75"/>
    </row>
    <row r="145" spans="1:9" ht="30" customHeight="1">
      <c r="A145" s="56"/>
      <c r="B145" s="103" t="s">
        <v>336</v>
      </c>
      <c r="C145" s="59"/>
      <c r="D145" s="54">
        <f t="shared" si="8"/>
        <v>22303</v>
      </c>
      <c r="E145" s="54"/>
      <c r="F145" s="54"/>
      <c r="G145" s="54"/>
      <c r="H145" s="52">
        <f>'4.pielikums'!B199</f>
        <v>22303</v>
      </c>
      <c r="I145" s="75"/>
    </row>
    <row r="146" spans="1:9" ht="30" customHeight="1">
      <c r="A146" s="56"/>
      <c r="B146" s="103" t="s">
        <v>118</v>
      </c>
      <c r="C146" s="59"/>
      <c r="D146" s="54">
        <f>H146-E146-G146-F146-C146</f>
        <v>24027</v>
      </c>
      <c r="E146" s="54"/>
      <c r="F146" s="54"/>
      <c r="G146" s="54"/>
      <c r="H146" s="52">
        <f>'4.pielikums'!B201</f>
        <v>24027</v>
      </c>
      <c r="I146" s="75"/>
    </row>
    <row r="147" spans="1:9" ht="15" customHeight="1">
      <c r="A147" s="56"/>
      <c r="B147" s="103" t="s">
        <v>124</v>
      </c>
      <c r="C147" s="59"/>
      <c r="D147" s="54">
        <f t="shared" si="8"/>
        <v>205018</v>
      </c>
      <c r="E147" s="92">
        <f>900+1400</f>
        <v>2300</v>
      </c>
      <c r="F147" s="54"/>
      <c r="G147" s="54"/>
      <c r="H147" s="52">
        <f>'4.pielikums'!B202</f>
        <v>207318</v>
      </c>
      <c r="I147" s="75"/>
    </row>
    <row r="148" spans="1:9" ht="30" customHeight="1">
      <c r="A148" s="56"/>
      <c r="B148" s="103" t="s">
        <v>247</v>
      </c>
      <c r="C148" s="59"/>
      <c r="D148" s="54">
        <f t="shared" si="8"/>
        <v>45890</v>
      </c>
      <c r="E148" s="92">
        <v>21857</v>
      </c>
      <c r="F148" s="54"/>
      <c r="G148" s="54"/>
      <c r="H148" s="52">
        <f>'4.pielikums'!B204</f>
        <v>67747</v>
      </c>
      <c r="I148" s="75"/>
    </row>
    <row r="149" spans="1:9" ht="30" customHeight="1">
      <c r="A149" s="56"/>
      <c r="B149" s="103" t="s">
        <v>113</v>
      </c>
      <c r="C149" s="59"/>
      <c r="D149" s="54">
        <f t="shared" si="8"/>
        <v>151933</v>
      </c>
      <c r="E149" s="92">
        <f>35161+6600</f>
        <v>41761</v>
      </c>
      <c r="F149" s="54"/>
      <c r="G149" s="54"/>
      <c r="H149" s="52">
        <f>'4.pielikums'!B206</f>
        <v>193694</v>
      </c>
      <c r="I149" s="75"/>
    </row>
    <row r="150" spans="1:9" ht="30" customHeight="1">
      <c r="A150" s="56"/>
      <c r="B150" s="103" t="s">
        <v>337</v>
      </c>
      <c r="C150" s="59"/>
      <c r="D150" s="54">
        <f t="shared" si="8"/>
        <v>33778</v>
      </c>
      <c r="E150" s="92">
        <v>13500</v>
      </c>
      <c r="F150" s="54"/>
      <c r="G150" s="54"/>
      <c r="H150" s="52">
        <f>'4.pielikums'!B208</f>
        <v>47278</v>
      </c>
      <c r="I150" s="75"/>
    </row>
    <row r="151" spans="1:9" ht="15" customHeight="1">
      <c r="A151" s="56"/>
      <c r="B151" s="103" t="s">
        <v>256</v>
      </c>
      <c r="C151" s="59"/>
      <c r="D151" s="54">
        <f t="shared" si="8"/>
        <v>53299</v>
      </c>
      <c r="E151" s="92">
        <v>28967</v>
      </c>
      <c r="F151" s="54"/>
      <c r="G151" s="54"/>
      <c r="H151" s="52">
        <f>'4.pielikums'!B210</f>
        <v>82266</v>
      </c>
      <c r="I151" s="75"/>
    </row>
    <row r="152" spans="1:9" ht="30" customHeight="1">
      <c r="A152" s="56"/>
      <c r="B152" s="103" t="s">
        <v>115</v>
      </c>
      <c r="C152" s="59"/>
      <c r="D152" s="54">
        <f t="shared" si="8"/>
        <v>22471</v>
      </c>
      <c r="E152" s="92">
        <f>9000+1300</f>
        <v>10300</v>
      </c>
      <c r="F152" s="54"/>
      <c r="G152" s="54"/>
      <c r="H152" s="52">
        <f>'4.pielikums'!B212</f>
        <v>32771</v>
      </c>
      <c r="I152" s="75"/>
    </row>
    <row r="153" spans="1:9" ht="30" customHeight="1">
      <c r="A153" s="56"/>
      <c r="B153" s="103" t="s">
        <v>103</v>
      </c>
      <c r="C153" s="59"/>
      <c r="D153" s="54">
        <f t="shared" si="8"/>
        <v>20481</v>
      </c>
      <c r="E153" s="92">
        <f>69000+6700</f>
        <v>75700</v>
      </c>
      <c r="F153" s="54"/>
      <c r="G153" s="54"/>
      <c r="H153" s="52">
        <f>'4.pielikums'!B214</f>
        <v>96181</v>
      </c>
      <c r="I153" s="75"/>
    </row>
    <row r="154" spans="1:9" ht="15" customHeight="1">
      <c r="A154" s="56"/>
      <c r="B154" s="103" t="s">
        <v>105</v>
      </c>
      <c r="C154" s="59"/>
      <c r="D154" s="54">
        <f t="shared" si="8"/>
        <v>68880</v>
      </c>
      <c r="E154" s="92">
        <f>59000+2929</f>
        <v>61929</v>
      </c>
      <c r="F154" s="54"/>
      <c r="G154" s="54"/>
      <c r="H154" s="52">
        <f>'4.pielikums'!B216</f>
        <v>130809</v>
      </c>
      <c r="I154" s="75"/>
    </row>
    <row r="155" spans="1:9" ht="15" customHeight="1">
      <c r="A155" s="56"/>
      <c r="B155" s="105" t="s">
        <v>204</v>
      </c>
      <c r="C155" s="59"/>
      <c r="D155" s="54">
        <f t="shared" si="8"/>
        <v>0</v>
      </c>
      <c r="E155" s="92">
        <v>2840</v>
      </c>
      <c r="F155" s="54"/>
      <c r="G155" s="54"/>
      <c r="H155" s="52">
        <f>'4.pielikums'!B218</f>
        <v>2840</v>
      </c>
      <c r="I155" s="75"/>
    </row>
    <row r="156" spans="1:9" ht="15" customHeight="1">
      <c r="A156" s="56"/>
      <c r="B156" s="105" t="s">
        <v>203</v>
      </c>
      <c r="C156" s="59"/>
      <c r="D156" s="54">
        <f t="shared" si="8"/>
        <v>2296</v>
      </c>
      <c r="E156" s="92">
        <v>11605</v>
      </c>
      <c r="F156" s="54"/>
      <c r="G156" s="54"/>
      <c r="H156" s="52">
        <f>'4.pielikums'!B219</f>
        <v>13901</v>
      </c>
      <c r="I156" s="75"/>
    </row>
    <row r="157" spans="1:9" s="74" customFormat="1" ht="30" customHeight="1">
      <c r="A157" s="79"/>
      <c r="B157" s="103" t="s">
        <v>717</v>
      </c>
      <c r="C157" s="58"/>
      <c r="D157" s="53">
        <f t="shared" si="8"/>
        <v>3477</v>
      </c>
      <c r="E157" s="99">
        <v>2500</v>
      </c>
      <c r="F157" s="53"/>
      <c r="G157" s="53"/>
      <c r="H157" s="127">
        <f>'4.pielikums'!B221</f>
        <v>5977</v>
      </c>
      <c r="I157" s="75"/>
    </row>
    <row r="158" spans="1:9" ht="15" customHeight="1">
      <c r="A158" s="56"/>
      <c r="B158" s="103" t="s">
        <v>254</v>
      </c>
      <c r="C158" s="59"/>
      <c r="D158" s="54">
        <f>H158-E158-G158-F158-C158</f>
        <v>894</v>
      </c>
      <c r="E158" s="92">
        <v>4268</v>
      </c>
      <c r="F158" s="54"/>
      <c r="G158" s="54"/>
      <c r="H158" s="52">
        <f>'4.pielikums'!B223</f>
        <v>5162</v>
      </c>
      <c r="I158" s="75"/>
    </row>
    <row r="159" spans="1:9" s="74" customFormat="1" ht="30" customHeight="1">
      <c r="A159" s="79"/>
      <c r="B159" s="103" t="s">
        <v>718</v>
      </c>
      <c r="C159" s="58"/>
      <c r="D159" s="53">
        <f>H159-E159-G159-F159-C159</f>
        <v>861</v>
      </c>
      <c r="E159" s="99">
        <v>2391</v>
      </c>
      <c r="F159" s="53"/>
      <c r="G159" s="53"/>
      <c r="H159" s="127">
        <f>'4.pielikums'!B224</f>
        <v>3252</v>
      </c>
      <c r="I159" s="75"/>
    </row>
    <row r="160" spans="1:9" ht="15" customHeight="1">
      <c r="A160" s="56"/>
      <c r="B160" s="108" t="s">
        <v>246</v>
      </c>
      <c r="C160" s="59"/>
      <c r="D160" s="54">
        <f t="shared" si="8"/>
        <v>1585</v>
      </c>
      <c r="E160" s="92">
        <v>4516</v>
      </c>
      <c r="F160" s="54"/>
      <c r="G160" s="54"/>
      <c r="H160" s="52">
        <f>'4.pielikums'!B226</f>
        <v>6101</v>
      </c>
      <c r="I160" s="75"/>
    </row>
    <row r="161" spans="1:9" ht="15" customHeight="1">
      <c r="A161" s="56"/>
      <c r="B161" s="103" t="s">
        <v>249</v>
      </c>
      <c r="C161" s="59"/>
      <c r="D161" s="54">
        <f t="shared" si="8"/>
        <v>0</v>
      </c>
      <c r="E161" s="92">
        <v>5348</v>
      </c>
      <c r="F161" s="54"/>
      <c r="G161" s="54"/>
      <c r="H161" s="52">
        <f>'4.pielikums'!B228</f>
        <v>5348</v>
      </c>
      <c r="I161" s="75"/>
    </row>
    <row r="162" spans="1:9" ht="30" customHeight="1">
      <c r="A162" s="56"/>
      <c r="B162" s="103" t="s">
        <v>114</v>
      </c>
      <c r="C162" s="59"/>
      <c r="D162" s="54">
        <f t="shared" si="8"/>
        <v>0</v>
      </c>
      <c r="E162" s="92">
        <v>5000</v>
      </c>
      <c r="F162" s="54"/>
      <c r="G162" s="54"/>
      <c r="H162" s="52">
        <f>'4.pielikums'!B230</f>
        <v>5000</v>
      </c>
      <c r="I162" s="75"/>
    </row>
    <row r="163" spans="1:9" ht="15" customHeight="1">
      <c r="A163" s="56"/>
      <c r="B163" s="104" t="s">
        <v>150</v>
      </c>
      <c r="C163" s="59"/>
      <c r="D163" s="54">
        <f>H163-E163-G163-F163-C163</f>
        <v>790</v>
      </c>
      <c r="E163" s="92">
        <v>5600</v>
      </c>
      <c r="F163" s="54"/>
      <c r="G163" s="54"/>
      <c r="H163" s="52">
        <f>'4.pielikums'!B231</f>
        <v>6390</v>
      </c>
      <c r="I163" s="75"/>
    </row>
    <row r="164" spans="1:9" s="74" customFormat="1" ht="30" customHeight="1">
      <c r="A164" s="79"/>
      <c r="B164" s="103" t="s">
        <v>719</v>
      </c>
      <c r="C164" s="58"/>
      <c r="D164" s="53">
        <f t="shared" si="8"/>
        <v>160</v>
      </c>
      <c r="E164" s="99">
        <v>3193</v>
      </c>
      <c r="F164" s="53"/>
      <c r="G164" s="53"/>
      <c r="H164" s="127">
        <f>'4.pielikums'!B233</f>
        <v>3353</v>
      </c>
      <c r="I164" s="75"/>
    </row>
    <row r="165" spans="1:9" ht="30" customHeight="1">
      <c r="A165" s="56"/>
      <c r="B165" s="103" t="s">
        <v>107</v>
      </c>
      <c r="C165" s="59"/>
      <c r="D165" s="54">
        <f t="shared" si="8"/>
        <v>0</v>
      </c>
      <c r="E165" s="92">
        <v>7036</v>
      </c>
      <c r="F165" s="54"/>
      <c r="G165" s="54"/>
      <c r="H165" s="52">
        <f>'4.pielikums'!B235</f>
        <v>7036</v>
      </c>
      <c r="I165" s="75"/>
    </row>
    <row r="166" spans="1:9" ht="15" customHeight="1">
      <c r="A166" s="56"/>
      <c r="B166" s="103" t="s">
        <v>111</v>
      </c>
      <c r="C166" s="59"/>
      <c r="D166" s="54">
        <f t="shared" si="8"/>
        <v>1752</v>
      </c>
      <c r="E166" s="92">
        <v>2977</v>
      </c>
      <c r="F166" s="54"/>
      <c r="G166" s="54"/>
      <c r="H166" s="52">
        <f>'4.pielikums'!B236</f>
        <v>4729</v>
      </c>
      <c r="I166" s="75"/>
    </row>
    <row r="167" spans="1:9" ht="15" customHeight="1">
      <c r="A167" s="56"/>
      <c r="B167" s="104" t="s">
        <v>151</v>
      </c>
      <c r="C167" s="59"/>
      <c r="D167" s="54">
        <f t="shared" si="8"/>
        <v>0</v>
      </c>
      <c r="E167" s="92">
        <f>6650+2300</f>
        <v>8950</v>
      </c>
      <c r="F167" s="54"/>
      <c r="G167" s="54"/>
      <c r="H167" s="52">
        <f>'4.pielikums'!B238</f>
        <v>8950</v>
      </c>
      <c r="I167" s="75"/>
    </row>
    <row r="168" spans="1:9" ht="15" customHeight="1">
      <c r="A168" s="56"/>
      <c r="B168" s="103" t="s">
        <v>112</v>
      </c>
      <c r="C168" s="59"/>
      <c r="D168" s="54">
        <f t="shared" si="8"/>
        <v>0</v>
      </c>
      <c r="E168" s="92">
        <v>2127</v>
      </c>
      <c r="F168" s="54"/>
      <c r="G168" s="54"/>
      <c r="H168" s="52">
        <f>'4.pielikums'!B240</f>
        <v>2127</v>
      </c>
      <c r="I168" s="75"/>
    </row>
    <row r="169" spans="1:9" ht="15" customHeight="1">
      <c r="A169" s="56"/>
      <c r="B169" s="103" t="s">
        <v>257</v>
      </c>
      <c r="C169" s="59"/>
      <c r="D169" s="54">
        <f t="shared" si="8"/>
        <v>2942</v>
      </c>
      <c r="E169" s="92">
        <v>6463</v>
      </c>
      <c r="F169" s="54"/>
      <c r="G169" s="54"/>
      <c r="H169" s="52">
        <f>'4.pielikums'!B241</f>
        <v>9405</v>
      </c>
      <c r="I169" s="75"/>
    </row>
    <row r="170" spans="1:9" s="74" customFormat="1" ht="15" customHeight="1">
      <c r="A170" s="79"/>
      <c r="B170" s="103" t="s">
        <v>710</v>
      </c>
      <c r="C170" s="58"/>
      <c r="D170" s="53">
        <f t="shared" si="8"/>
        <v>1470</v>
      </c>
      <c r="E170" s="99">
        <v>4189</v>
      </c>
      <c r="F170" s="53"/>
      <c r="G170" s="53"/>
      <c r="H170" s="127">
        <f>'4.pielikums'!B245</f>
        <v>5659</v>
      </c>
      <c r="I170" s="75"/>
    </row>
    <row r="171" spans="1:9" ht="15" customHeight="1">
      <c r="A171" s="56"/>
      <c r="B171" s="103" t="s">
        <v>109</v>
      </c>
      <c r="C171" s="59"/>
      <c r="D171" s="54">
        <f t="shared" si="8"/>
        <v>3502</v>
      </c>
      <c r="E171" s="99">
        <v>3605</v>
      </c>
      <c r="F171" s="54"/>
      <c r="G171" s="54"/>
      <c r="H171" s="52">
        <f>'4.pielikums'!B243</f>
        <v>7107</v>
      </c>
      <c r="I171" s="75"/>
    </row>
    <row r="172" spans="1:9" ht="15" customHeight="1">
      <c r="A172" s="56"/>
      <c r="B172" s="103" t="s">
        <v>117</v>
      </c>
      <c r="C172" s="59"/>
      <c r="D172" s="54">
        <f t="shared" si="8"/>
        <v>1574</v>
      </c>
      <c r="E172" s="92">
        <f>2400+490</f>
        <v>2890</v>
      </c>
      <c r="F172" s="54"/>
      <c r="G172" s="54"/>
      <c r="H172" s="52">
        <f>'4.pielikums'!B247</f>
        <v>4464</v>
      </c>
      <c r="I172" s="75"/>
    </row>
    <row r="173" spans="1:9" ht="30" customHeight="1">
      <c r="A173" s="56"/>
      <c r="B173" s="103" t="s">
        <v>104</v>
      </c>
      <c r="C173" s="59"/>
      <c r="D173" s="54">
        <f t="shared" si="8"/>
        <v>21359</v>
      </c>
      <c r="E173" s="92">
        <f>15900</f>
        <v>15900</v>
      </c>
      <c r="F173" s="54"/>
      <c r="G173" s="54"/>
      <c r="H173" s="52">
        <f>'4.pielikums'!B249</f>
        <v>37259</v>
      </c>
      <c r="I173" s="75"/>
    </row>
    <row r="174" spans="1:9" ht="30" customHeight="1">
      <c r="A174" s="56"/>
      <c r="B174" s="103" t="s">
        <v>711</v>
      </c>
      <c r="C174" s="59"/>
      <c r="D174" s="54">
        <f t="shared" si="8"/>
        <v>100</v>
      </c>
      <c r="E174" s="92">
        <v>2560</v>
      </c>
      <c r="F174" s="54"/>
      <c r="G174" s="54"/>
      <c r="H174" s="52">
        <f>'4.pielikums'!B251</f>
        <v>2660</v>
      </c>
      <c r="I174" s="75"/>
    </row>
    <row r="175" spans="1:9" ht="15" customHeight="1">
      <c r="A175" s="56"/>
      <c r="B175" s="103" t="s">
        <v>338</v>
      </c>
      <c r="C175" s="59"/>
      <c r="D175" s="54">
        <f t="shared" si="8"/>
        <v>4058</v>
      </c>
      <c r="E175" s="92">
        <f>8308+1424</f>
        <v>9732</v>
      </c>
      <c r="F175" s="54"/>
      <c r="G175" s="54"/>
      <c r="H175" s="52">
        <f>'4.pielikums'!B253</f>
        <v>13790</v>
      </c>
      <c r="I175" s="75"/>
    </row>
    <row r="176" spans="1:9" ht="30" customHeight="1">
      <c r="A176" s="56"/>
      <c r="B176" s="103" t="s">
        <v>240</v>
      </c>
      <c r="C176" s="59"/>
      <c r="D176" s="54">
        <f>H176-E176-G176-F176-C176</f>
        <v>0</v>
      </c>
      <c r="E176" s="92"/>
      <c r="F176" s="54"/>
      <c r="G176" s="54">
        <f>252621+128326</f>
        <v>380947</v>
      </c>
      <c r="H176" s="52">
        <f>'4.pielikums'!B485</f>
        <v>380947</v>
      </c>
      <c r="I176" s="75"/>
    </row>
    <row r="177" spans="1:9" ht="30" customHeight="1">
      <c r="A177" s="56"/>
      <c r="B177" s="73" t="s">
        <v>147</v>
      </c>
      <c r="C177" s="59"/>
      <c r="D177" s="54">
        <f t="shared" si="8"/>
        <v>26000</v>
      </c>
      <c r="E177" s="92"/>
      <c r="F177" s="54"/>
      <c r="G177" s="54"/>
      <c r="H177" s="52">
        <f>'4.pielikums'!B255</f>
        <v>26000</v>
      </c>
      <c r="I177" s="75"/>
    </row>
    <row r="178" spans="1:9" ht="30" customHeight="1">
      <c r="A178" s="56"/>
      <c r="B178" s="73" t="s">
        <v>686</v>
      </c>
      <c r="C178" s="59"/>
      <c r="D178" s="54">
        <f t="shared" si="8"/>
        <v>-3</v>
      </c>
      <c r="E178" s="92"/>
      <c r="F178" s="92">
        <f>2000+3846+4496</f>
        <v>10342</v>
      </c>
      <c r="G178" s="54"/>
      <c r="H178" s="52">
        <f>'4.pielikums'!B481</f>
        <v>10339</v>
      </c>
      <c r="I178" s="75"/>
    </row>
    <row r="179" spans="1:9" ht="30" customHeight="1">
      <c r="A179" s="56"/>
      <c r="B179" s="73" t="s">
        <v>745</v>
      </c>
      <c r="C179" s="59"/>
      <c r="D179" s="54">
        <f t="shared" si="8"/>
        <v>60000</v>
      </c>
      <c r="E179" s="92"/>
      <c r="F179" s="54"/>
      <c r="G179" s="54"/>
      <c r="H179" s="52">
        <f>'4.pielikums'!B486</f>
        <v>60000</v>
      </c>
      <c r="I179" s="75"/>
    </row>
    <row r="180" spans="1:9" s="74" customFormat="1" ht="15" customHeight="1">
      <c r="A180" s="79"/>
      <c r="B180" s="73" t="s">
        <v>184</v>
      </c>
      <c r="C180" s="58"/>
      <c r="D180" s="53">
        <f t="shared" si="8"/>
        <v>100000</v>
      </c>
      <c r="E180" s="99"/>
      <c r="F180" s="53"/>
      <c r="G180" s="53"/>
      <c r="H180" s="127">
        <f>'4.pielikums'!B483</f>
        <v>100000</v>
      </c>
      <c r="I180" s="75"/>
    </row>
    <row r="181" spans="1:9" s="74" customFormat="1" ht="60" customHeight="1">
      <c r="A181" s="79"/>
      <c r="B181" s="107" t="s">
        <v>874</v>
      </c>
      <c r="C181" s="58"/>
      <c r="D181" s="53"/>
      <c r="E181" s="99"/>
      <c r="F181" s="99">
        <v>1078</v>
      </c>
      <c r="G181" s="53"/>
      <c r="H181" s="127">
        <f>'4.pielikums'!B511</f>
        <v>1078</v>
      </c>
      <c r="I181" s="75"/>
    </row>
    <row r="182" spans="1:9" ht="15" customHeight="1">
      <c r="A182" s="15" t="s">
        <v>286</v>
      </c>
      <c r="B182" s="83" t="s">
        <v>287</v>
      </c>
      <c r="C182" s="63">
        <f t="shared" si="9" ref="C182:H182">SUM(C183:C192)</f>
        <v>0</v>
      </c>
      <c r="D182" s="63">
        <f t="shared" si="9"/>
        <v>14597</v>
      </c>
      <c r="E182" s="63">
        <f t="shared" si="9"/>
        <v>510</v>
      </c>
      <c r="F182" s="63">
        <f t="shared" si="9"/>
        <v>140489</v>
      </c>
      <c r="G182" s="63">
        <f t="shared" si="9"/>
        <v>0</v>
      </c>
      <c r="H182" s="52">
        <f t="shared" si="9"/>
        <v>155596</v>
      </c>
      <c r="I182" s="273"/>
    </row>
    <row r="183" spans="1:9" ht="15" customHeight="1">
      <c r="A183" s="56"/>
      <c r="B183" s="72" t="s">
        <v>288</v>
      </c>
      <c r="C183" s="59"/>
      <c r="D183" s="54">
        <f>H183-E183-G183-F183-C183</f>
        <v>897</v>
      </c>
      <c r="E183" s="92">
        <v>150</v>
      </c>
      <c r="F183" s="92">
        <v>12896</v>
      </c>
      <c r="G183" s="54"/>
      <c r="H183" s="52">
        <f>'4.pielikums'!B256</f>
        <v>13943</v>
      </c>
      <c r="I183" s="75"/>
    </row>
    <row r="184" spans="1:9" ht="15" customHeight="1">
      <c r="A184" s="56"/>
      <c r="B184" s="72" t="s">
        <v>289</v>
      </c>
      <c r="C184" s="59"/>
      <c r="D184" s="54">
        <f t="shared" si="8"/>
        <v>2773</v>
      </c>
      <c r="E184" s="92">
        <v>50</v>
      </c>
      <c r="F184" s="92">
        <v>12266</v>
      </c>
      <c r="G184" s="54"/>
      <c r="H184" s="52">
        <f>'4.pielikums'!B257</f>
        <v>15089</v>
      </c>
      <c r="I184" s="75"/>
    </row>
    <row r="185" spans="1:9" ht="15" customHeight="1">
      <c r="A185" s="56"/>
      <c r="B185" s="72" t="s">
        <v>290</v>
      </c>
      <c r="C185" s="59"/>
      <c r="D185" s="54">
        <f t="shared" si="10" ref="D185:D192">H185-E185-G185-F185-C185</f>
        <v>965</v>
      </c>
      <c r="E185" s="92">
        <v>50</v>
      </c>
      <c r="F185" s="92">
        <v>12896</v>
      </c>
      <c r="G185" s="54"/>
      <c r="H185" s="52">
        <f>'4.pielikums'!B258</f>
        <v>13911</v>
      </c>
      <c r="I185" s="75"/>
    </row>
    <row r="186" spans="1:9" ht="15" customHeight="1">
      <c r="A186" s="56"/>
      <c r="B186" s="72" t="s">
        <v>152</v>
      </c>
      <c r="C186" s="59"/>
      <c r="D186" s="54">
        <f t="shared" si="10"/>
        <v>-10</v>
      </c>
      <c r="E186" s="92">
        <v>10</v>
      </c>
      <c r="F186" s="92">
        <v>12896</v>
      </c>
      <c r="G186" s="54"/>
      <c r="H186" s="52">
        <f>'4.pielikums'!B259</f>
        <v>12896</v>
      </c>
      <c r="I186" s="75"/>
    </row>
    <row r="187" spans="1:9" ht="15" customHeight="1">
      <c r="A187" s="56"/>
      <c r="B187" s="72" t="s">
        <v>291</v>
      </c>
      <c r="C187" s="59"/>
      <c r="D187" s="54">
        <f t="shared" si="10"/>
        <v>78</v>
      </c>
      <c r="E187" s="92">
        <v>50</v>
      </c>
      <c r="F187" s="92">
        <v>12896</v>
      </c>
      <c r="G187" s="54"/>
      <c r="H187" s="52">
        <f>'4.pielikums'!B260</f>
        <v>13024</v>
      </c>
      <c r="I187" s="75"/>
    </row>
    <row r="188" spans="1:9" ht="15" customHeight="1">
      <c r="A188" s="56"/>
      <c r="B188" s="72" t="s">
        <v>292</v>
      </c>
      <c r="C188" s="59"/>
      <c r="D188" s="54">
        <f t="shared" si="10"/>
        <v>3262</v>
      </c>
      <c r="E188" s="92">
        <v>50</v>
      </c>
      <c r="F188" s="92">
        <v>12896</v>
      </c>
      <c r="G188" s="54"/>
      <c r="H188" s="52">
        <f>'4.pielikums'!B261</f>
        <v>16208</v>
      </c>
      <c r="I188" s="75"/>
    </row>
    <row r="189" spans="1:9" ht="15" customHeight="1">
      <c r="A189" s="56"/>
      <c r="B189" s="103" t="s">
        <v>293</v>
      </c>
      <c r="C189" s="59"/>
      <c r="D189" s="54">
        <f t="shared" si="10"/>
        <v>2674</v>
      </c>
      <c r="E189" s="92">
        <v>50</v>
      </c>
      <c r="F189" s="92">
        <v>12896</v>
      </c>
      <c r="G189" s="54"/>
      <c r="H189" s="52">
        <f>'4.pielikums'!B263</f>
        <v>15620</v>
      </c>
      <c r="I189" s="75"/>
    </row>
    <row r="190" spans="1:9" ht="15" customHeight="1">
      <c r="A190" s="56"/>
      <c r="B190" s="72" t="s">
        <v>294</v>
      </c>
      <c r="C190" s="59"/>
      <c r="D190" s="54">
        <f t="shared" si="10"/>
        <v>3880</v>
      </c>
      <c r="E190" s="92">
        <v>50</v>
      </c>
      <c r="F190" s="92">
        <v>12896</v>
      </c>
      <c r="G190" s="54"/>
      <c r="H190" s="52">
        <f>'4.pielikums'!B264</f>
        <v>16826</v>
      </c>
      <c r="I190" s="75"/>
    </row>
    <row r="191" spans="1:9" ht="15" customHeight="1">
      <c r="A191" s="56"/>
      <c r="B191" s="72" t="s">
        <v>295</v>
      </c>
      <c r="C191" s="59"/>
      <c r="D191" s="54">
        <f t="shared" si="10"/>
        <v>78</v>
      </c>
      <c r="E191" s="92">
        <v>50</v>
      </c>
      <c r="F191" s="92">
        <v>12896</v>
      </c>
      <c r="G191" s="54"/>
      <c r="H191" s="52">
        <f>'4.pielikums'!B265</f>
        <v>13024</v>
      </c>
      <c r="I191" s="75"/>
    </row>
    <row r="192" spans="1:9" ht="15" customHeight="1">
      <c r="A192" s="56"/>
      <c r="B192" s="71" t="s">
        <v>296</v>
      </c>
      <c r="C192" s="59"/>
      <c r="D192" s="54">
        <f t="shared" si="10"/>
        <v>0</v>
      </c>
      <c r="E192" s="92"/>
      <c r="F192" s="92">
        <f>19829+5226</f>
        <v>25055</v>
      </c>
      <c r="G192" s="54"/>
      <c r="H192" s="52">
        <f>'4.pielikums'!B266</f>
        <v>25055</v>
      </c>
      <c r="I192" s="75"/>
    </row>
    <row r="193" spans="1:9" ht="15" customHeight="1">
      <c r="A193" s="15" t="s">
        <v>297</v>
      </c>
      <c r="B193" s="83" t="s">
        <v>653</v>
      </c>
      <c r="C193" s="63">
        <f t="shared" si="11" ref="C193:H193">C194+C201+C203+C209+C230</f>
        <v>112700</v>
      </c>
      <c r="D193" s="63">
        <f t="shared" si="11"/>
        <v>2228606</v>
      </c>
      <c r="E193" s="63">
        <f t="shared" si="11"/>
        <v>119021</v>
      </c>
      <c r="F193" s="63">
        <f t="shared" si="11"/>
        <v>107500</v>
      </c>
      <c r="G193" s="63">
        <f t="shared" si="11"/>
        <v>283341</v>
      </c>
      <c r="H193" s="52">
        <f t="shared" si="11"/>
        <v>2851168.23</v>
      </c>
      <c r="I193" s="273"/>
    </row>
    <row r="194" spans="1:9" ht="15" customHeight="1">
      <c r="A194" s="15"/>
      <c r="B194" s="83" t="s">
        <v>298</v>
      </c>
      <c r="C194" s="63">
        <f t="shared" si="12" ref="C194:H194">SUM(C195:C199)</f>
        <v>0</v>
      </c>
      <c r="D194" s="63">
        <f t="shared" si="12"/>
        <v>152758</v>
      </c>
      <c r="E194" s="63">
        <f t="shared" si="12"/>
        <v>3120</v>
      </c>
      <c r="F194" s="63">
        <f t="shared" si="12"/>
        <v>0</v>
      </c>
      <c r="G194" s="63">
        <f t="shared" si="12"/>
        <v>0</v>
      </c>
      <c r="H194" s="52">
        <f t="shared" si="12"/>
        <v>155878</v>
      </c>
      <c r="I194" s="75"/>
    </row>
    <row r="195" spans="1:9" ht="15" customHeight="1">
      <c r="A195" s="56"/>
      <c r="B195" s="84" t="s">
        <v>176</v>
      </c>
      <c r="C195" s="64"/>
      <c r="D195" s="54">
        <f t="shared" si="13" ref="D195:D234">H195-E195-G195-F195-C195</f>
        <v>78323</v>
      </c>
      <c r="E195" s="54"/>
      <c r="F195" s="54"/>
      <c r="G195" s="54"/>
      <c r="H195" s="52">
        <f>'4.pielikums'!B268</f>
        <v>78323</v>
      </c>
      <c r="I195" s="75"/>
    </row>
    <row r="196" spans="1:9" ht="15" customHeight="1">
      <c r="A196" s="56"/>
      <c r="B196" s="72" t="s">
        <v>206</v>
      </c>
      <c r="C196" s="59"/>
      <c r="D196" s="54">
        <f t="shared" si="13"/>
        <v>30774</v>
      </c>
      <c r="E196" s="54">
        <v>2120</v>
      </c>
      <c r="F196" s="54"/>
      <c r="G196" s="54"/>
      <c r="H196" s="52">
        <f>'4.pielikums'!B270</f>
        <v>32894</v>
      </c>
      <c r="I196" s="75"/>
    </row>
    <row r="197" spans="1:9" ht="15" customHeight="1">
      <c r="A197" s="56"/>
      <c r="B197" s="72" t="s">
        <v>228</v>
      </c>
      <c r="C197" s="59"/>
      <c r="D197" s="54">
        <f t="shared" si="13"/>
        <v>24492</v>
      </c>
      <c r="E197" s="54">
        <f>1000</f>
        <v>1000</v>
      </c>
      <c r="F197" s="54"/>
      <c r="G197" s="54"/>
      <c r="H197" s="52">
        <f>'4.pielikums'!B273</f>
        <v>25492</v>
      </c>
      <c r="I197" s="75"/>
    </row>
    <row r="198" spans="1:9" ht="15" customHeight="1">
      <c r="A198" s="56"/>
      <c r="B198" s="72" t="s">
        <v>731</v>
      </c>
      <c r="C198" s="59"/>
      <c r="D198" s="54">
        <f t="shared" si="13"/>
        <v>0</v>
      </c>
      <c r="E198" s="54"/>
      <c r="F198" s="54"/>
      <c r="G198" s="54"/>
      <c r="H198" s="52">
        <f>'4.pielikums'!B479</f>
        <v>0</v>
      </c>
      <c r="I198" s="75"/>
    </row>
    <row r="199" spans="1:9" ht="15" customHeight="1">
      <c r="A199" s="56"/>
      <c r="B199" s="72" t="s">
        <v>776</v>
      </c>
      <c r="C199" s="59"/>
      <c r="D199" s="54">
        <f t="shared" si="13"/>
        <v>19169</v>
      </c>
      <c r="E199" s="54"/>
      <c r="F199" s="54"/>
      <c r="G199" s="54"/>
      <c r="H199" s="52">
        <f>'4.pielikums'!B272</f>
        <v>19169</v>
      </c>
      <c r="I199" s="75"/>
    </row>
    <row r="200" spans="1:9" ht="15" customHeight="1">
      <c r="A200" s="15"/>
      <c r="B200" s="83" t="s">
        <v>299</v>
      </c>
      <c r="C200" s="68"/>
      <c r="D200" s="54"/>
      <c r="E200" s="63"/>
      <c r="F200" s="63"/>
      <c r="G200" s="63"/>
      <c r="H200" s="52"/>
      <c r="I200" s="75"/>
    </row>
    <row r="201" spans="1:9" ht="15" customHeight="1">
      <c r="A201" s="15"/>
      <c r="B201" s="83" t="s">
        <v>300</v>
      </c>
      <c r="C201" s="63">
        <f t="shared" si="14" ref="C201:H201">SUM(C202:C202)</f>
        <v>0</v>
      </c>
      <c r="D201" s="63">
        <f t="shared" si="14"/>
        <v>484515</v>
      </c>
      <c r="E201" s="63">
        <f t="shared" si="14"/>
        <v>2600</v>
      </c>
      <c r="F201" s="63">
        <f t="shared" si="14"/>
        <v>18531</v>
      </c>
      <c r="G201" s="63">
        <f t="shared" si="14"/>
        <v>0</v>
      </c>
      <c r="H201" s="52">
        <f t="shared" si="14"/>
        <v>505646</v>
      </c>
      <c r="I201" s="75"/>
    </row>
    <row r="202" spans="1:9" ht="15" customHeight="1">
      <c r="A202" s="56"/>
      <c r="B202" s="84" t="s">
        <v>36</v>
      </c>
      <c r="C202" s="64"/>
      <c r="D202" s="54">
        <f t="shared" si="13"/>
        <v>484515</v>
      </c>
      <c r="E202" s="54">
        <f>1800+800</f>
        <v>2600</v>
      </c>
      <c r="F202" s="53">
        <v>18531</v>
      </c>
      <c r="G202" s="54"/>
      <c r="H202" s="52">
        <f>'4.pielikums'!B275</f>
        <v>505646</v>
      </c>
      <c r="I202" s="75"/>
    </row>
    <row r="203" spans="1:9" ht="15" customHeight="1">
      <c r="A203" s="15"/>
      <c r="B203" s="83" t="s">
        <v>301</v>
      </c>
      <c r="C203" s="63">
        <f t="shared" si="15" ref="C203:H203">SUM(C204:C208)</f>
        <v>0</v>
      </c>
      <c r="D203" s="63">
        <f t="shared" si="15"/>
        <v>244251</v>
      </c>
      <c r="E203" s="63">
        <f>SUM(E204:E208)</f>
        <v>13760</v>
      </c>
      <c r="F203" s="63">
        <f t="shared" si="15"/>
        <v>0</v>
      </c>
      <c r="G203" s="63">
        <f t="shared" si="15"/>
        <v>0</v>
      </c>
      <c r="H203" s="52">
        <f t="shared" si="15"/>
        <v>258011</v>
      </c>
      <c r="I203" s="75"/>
    </row>
    <row r="204" spans="1:9" ht="15" customHeight="1">
      <c r="A204" s="56"/>
      <c r="B204" s="84" t="s">
        <v>302</v>
      </c>
      <c r="C204" s="64"/>
      <c r="D204" s="54">
        <f t="shared" si="13"/>
        <v>119814</v>
      </c>
      <c r="E204" s="54">
        <v>10740</v>
      </c>
      <c r="F204" s="54"/>
      <c r="G204" s="54"/>
      <c r="H204" s="52">
        <f>'4.pielikums'!B277</f>
        <v>130554</v>
      </c>
      <c r="I204" s="75"/>
    </row>
    <row r="205" spans="1:9" ht="15" customHeight="1">
      <c r="A205" s="56"/>
      <c r="B205" s="84" t="s">
        <v>153</v>
      </c>
      <c r="C205" s="64"/>
      <c r="D205" s="54">
        <f t="shared" si="13"/>
        <v>54861</v>
      </c>
      <c r="E205" s="54">
        <v>350</v>
      </c>
      <c r="F205" s="54"/>
      <c r="G205" s="54"/>
      <c r="H205" s="52">
        <f>'4.pielikums'!B279</f>
        <v>55211</v>
      </c>
      <c r="I205" s="75"/>
    </row>
    <row r="206" spans="1:9" ht="15" customHeight="1">
      <c r="A206" s="56"/>
      <c r="B206" s="73" t="s">
        <v>135</v>
      </c>
      <c r="C206" s="59"/>
      <c r="D206" s="54">
        <f t="shared" si="13"/>
        <v>13036</v>
      </c>
      <c r="E206" s="54"/>
      <c r="F206" s="54"/>
      <c r="G206" s="54"/>
      <c r="H206" s="52">
        <f>'4.pielikums'!B281</f>
        <v>13036</v>
      </c>
      <c r="I206" s="75"/>
    </row>
    <row r="207" spans="1:9" ht="15" customHeight="1">
      <c r="A207" s="56"/>
      <c r="B207" s="103" t="s">
        <v>134</v>
      </c>
      <c r="C207" s="59"/>
      <c r="D207" s="54">
        <f t="shared" si="13"/>
        <v>43935</v>
      </c>
      <c r="E207" s="54">
        <v>1370</v>
      </c>
      <c r="F207" s="54"/>
      <c r="G207" s="54"/>
      <c r="H207" s="52">
        <f>'4.pielikums'!B283</f>
        <v>45305</v>
      </c>
      <c r="I207" s="75"/>
    </row>
    <row r="208" spans="1:9" ht="30" customHeight="1">
      <c r="A208" s="56"/>
      <c r="B208" s="103" t="s">
        <v>133</v>
      </c>
      <c r="C208" s="59"/>
      <c r="D208" s="54">
        <f t="shared" si="13"/>
        <v>12605</v>
      </c>
      <c r="E208" s="54">
        <v>1300</v>
      </c>
      <c r="F208" s="54"/>
      <c r="G208" s="54"/>
      <c r="H208" s="52">
        <f>'4.pielikums'!B285</f>
        <v>13905</v>
      </c>
      <c r="I208" s="75"/>
    </row>
    <row r="209" spans="1:9" ht="15" customHeight="1">
      <c r="A209" s="15"/>
      <c r="B209" s="83" t="s">
        <v>303</v>
      </c>
      <c r="C209" s="63">
        <f t="shared" si="16" ref="C209:G209">SUM(C210:C229)</f>
        <v>0</v>
      </c>
      <c r="D209" s="63">
        <f t="shared" si="16"/>
        <v>1037361</v>
      </c>
      <c r="E209" s="128">
        <f>SUM(E210:E229)</f>
        <v>99541</v>
      </c>
      <c r="F209" s="128">
        <f>SUM(F210:F229)</f>
        <v>58208</v>
      </c>
      <c r="G209" s="128">
        <f t="shared" si="16"/>
        <v>0</v>
      </c>
      <c r="H209" s="52">
        <f>SUM(H210:H229)</f>
        <v>1195110</v>
      </c>
      <c r="I209" s="273"/>
    </row>
    <row r="210" spans="1:10" ht="15" customHeight="1">
      <c r="A210" s="56"/>
      <c r="B210" s="84" t="s">
        <v>80</v>
      </c>
      <c r="C210" s="64"/>
      <c r="D210" s="54">
        <f t="shared" si="13"/>
        <v>232660</v>
      </c>
      <c r="E210" s="92">
        <v>8194</v>
      </c>
      <c r="F210" s="92">
        <f>6851+7701</f>
        <v>14552</v>
      </c>
      <c r="G210" s="92"/>
      <c r="H210" s="52">
        <f>'4.pielikums'!B286</f>
        <v>255406</v>
      </c>
      <c r="I210" s="75"/>
      <c r="J210" s="122"/>
    </row>
    <row r="211" spans="1:9" ht="30" customHeight="1">
      <c r="A211" s="56"/>
      <c r="B211" s="72" t="s">
        <v>307</v>
      </c>
      <c r="C211" s="59"/>
      <c r="D211" s="54">
        <f t="shared" si="13"/>
        <v>23920</v>
      </c>
      <c r="E211" s="92">
        <v>38136</v>
      </c>
      <c r="F211" s="92">
        <v>0</v>
      </c>
      <c r="G211" s="92"/>
      <c r="H211" s="52">
        <f>'4.pielikums'!B288</f>
        <v>62056</v>
      </c>
      <c r="I211" s="75"/>
    </row>
    <row r="212" spans="1:9" ht="15" customHeight="1">
      <c r="A212" s="56"/>
      <c r="B212" s="72" t="s">
        <v>154</v>
      </c>
      <c r="C212" s="59"/>
      <c r="D212" s="54">
        <f t="shared" si="13"/>
        <v>47570</v>
      </c>
      <c r="E212" s="92">
        <f>130+1800</f>
        <v>1930</v>
      </c>
      <c r="F212" s="92">
        <f>2015+2265</f>
        <v>4280</v>
      </c>
      <c r="G212" s="92"/>
      <c r="H212" s="52">
        <f>'4.pielikums'!B290</f>
        <v>53780</v>
      </c>
      <c r="I212" s="75"/>
    </row>
    <row r="213" spans="1:9" ht="15" customHeight="1">
      <c r="A213" s="56"/>
      <c r="B213" s="95" t="s">
        <v>200</v>
      </c>
      <c r="C213" s="64"/>
      <c r="D213" s="54">
        <f>H213-E213-G213-F213-C213</f>
        <v>44277</v>
      </c>
      <c r="E213" s="92">
        <f>2850+1250</f>
        <v>4100</v>
      </c>
      <c r="F213" s="92">
        <f>403+453</f>
        <v>856</v>
      </c>
      <c r="G213" s="92"/>
      <c r="H213" s="52">
        <f>'4.pielikums'!B292</f>
        <v>49233</v>
      </c>
      <c r="I213" s="75"/>
    </row>
    <row r="214" spans="1:9" ht="15" customHeight="1">
      <c r="A214" s="56"/>
      <c r="B214" s="72" t="s">
        <v>304</v>
      </c>
      <c r="C214" s="59"/>
      <c r="D214" s="54">
        <f t="shared" si="13"/>
        <v>44443</v>
      </c>
      <c r="E214" s="92">
        <v>450</v>
      </c>
      <c r="F214" s="92">
        <f>2015+2265</f>
        <v>4280</v>
      </c>
      <c r="G214" s="92"/>
      <c r="H214" s="52">
        <f>'4.pielikums'!B294</f>
        <v>49173</v>
      </c>
      <c r="I214" s="75"/>
    </row>
    <row r="215" spans="1:9" ht="15" customHeight="1">
      <c r="A215" s="56"/>
      <c r="B215" s="84" t="s">
        <v>39</v>
      </c>
      <c r="C215" s="64"/>
      <c r="D215" s="54">
        <f t="shared" si="13"/>
        <v>30556</v>
      </c>
      <c r="E215" s="92">
        <v>282</v>
      </c>
      <c r="F215" s="92">
        <f>806+906</f>
        <v>1712</v>
      </c>
      <c r="G215" s="92"/>
      <c r="H215" s="52">
        <f>'4.pielikums'!B296</f>
        <v>32550</v>
      </c>
      <c r="I215" s="75"/>
    </row>
    <row r="216" spans="1:9" ht="15" customHeight="1">
      <c r="A216" s="56"/>
      <c r="B216" s="84" t="s">
        <v>40</v>
      </c>
      <c r="C216" s="64"/>
      <c r="D216" s="54">
        <f t="shared" si="13"/>
        <v>54583</v>
      </c>
      <c r="E216" s="92">
        <f>350+2467+3920</f>
        <v>6737</v>
      </c>
      <c r="F216" s="93"/>
      <c r="G216" s="92"/>
      <c r="H216" s="52">
        <f>'4.pielikums'!B298</f>
        <v>61320</v>
      </c>
      <c r="I216" s="75"/>
    </row>
    <row r="217" spans="1:9" ht="15" customHeight="1">
      <c r="A217" s="56"/>
      <c r="B217" s="72" t="s">
        <v>131</v>
      </c>
      <c r="C217" s="59"/>
      <c r="D217" s="54">
        <f t="shared" si="13"/>
        <v>42720</v>
      </c>
      <c r="E217" s="92">
        <f>6605+505</f>
        <v>7110</v>
      </c>
      <c r="F217" s="92">
        <f>403+453</f>
        <v>856</v>
      </c>
      <c r="G217" s="92"/>
      <c r="H217" s="52">
        <f>'4.pielikums'!B300</f>
        <v>50686</v>
      </c>
      <c r="I217" s="75"/>
    </row>
    <row r="218" spans="1:9" ht="15" customHeight="1">
      <c r="A218" s="56"/>
      <c r="B218" s="84" t="s">
        <v>305</v>
      </c>
      <c r="C218" s="64"/>
      <c r="D218" s="54">
        <f t="shared" si="13"/>
        <v>10458</v>
      </c>
      <c r="E218" s="92">
        <f>25+200</f>
        <v>225</v>
      </c>
      <c r="F218" s="93"/>
      <c r="G218" s="92"/>
      <c r="H218" s="52">
        <f>'4.pielikums'!B302</f>
        <v>10683</v>
      </c>
      <c r="I218" s="75"/>
    </row>
    <row r="219" spans="1:9" ht="15" customHeight="1">
      <c r="A219" s="56"/>
      <c r="B219" s="103" t="s">
        <v>158</v>
      </c>
      <c r="C219" s="59"/>
      <c r="D219" s="54">
        <f t="shared" si="13"/>
        <v>31241</v>
      </c>
      <c r="E219" s="92">
        <v>5000</v>
      </c>
      <c r="F219" s="92">
        <f>1209+1359</f>
        <v>2568</v>
      </c>
      <c r="G219" s="92"/>
      <c r="H219" s="52">
        <f>'4.pielikums'!B304</f>
        <v>38809</v>
      </c>
      <c r="I219" s="75"/>
    </row>
    <row r="220" spans="1:9" ht="15" customHeight="1">
      <c r="A220" s="56"/>
      <c r="B220" s="84" t="s">
        <v>205</v>
      </c>
      <c r="C220" s="64"/>
      <c r="D220" s="54">
        <f t="shared" si="13"/>
        <v>24684</v>
      </c>
      <c r="E220" s="92">
        <f>50+560</f>
        <v>610</v>
      </c>
      <c r="F220" s="92"/>
      <c r="G220" s="92"/>
      <c r="H220" s="52">
        <f>'4.pielikums'!B306</f>
        <v>25294</v>
      </c>
      <c r="I220" s="75"/>
    </row>
    <row r="221" spans="1:9" ht="15" customHeight="1">
      <c r="A221" s="56"/>
      <c r="B221" s="84" t="s">
        <v>197</v>
      </c>
      <c r="C221" s="64"/>
      <c r="D221" s="54">
        <f t="shared" si="13"/>
        <v>18366</v>
      </c>
      <c r="E221" s="92">
        <v>100</v>
      </c>
      <c r="F221" s="92"/>
      <c r="G221" s="92"/>
      <c r="H221" s="52">
        <f>'4.pielikums'!B308</f>
        <v>18466</v>
      </c>
      <c r="I221" s="75"/>
    </row>
    <row r="222" spans="1:9" ht="15" customHeight="1">
      <c r="A222" s="56"/>
      <c r="B222" s="72" t="s">
        <v>191</v>
      </c>
      <c r="C222" s="59"/>
      <c r="D222" s="54">
        <f t="shared" si="13"/>
        <v>59507</v>
      </c>
      <c r="E222" s="92">
        <f>2500</f>
        <v>2500</v>
      </c>
      <c r="F222" s="92">
        <f>3224+3624</f>
        <v>6848</v>
      </c>
      <c r="G222" s="92"/>
      <c r="H222" s="52">
        <f>'4.pielikums'!B309</f>
        <v>68855</v>
      </c>
      <c r="I222" s="75"/>
    </row>
    <row r="223" spans="1:9" ht="15" customHeight="1">
      <c r="A223" s="56"/>
      <c r="B223" s="84" t="s">
        <v>216</v>
      </c>
      <c r="C223" s="64"/>
      <c r="D223" s="54">
        <f t="shared" si="13"/>
        <v>47108</v>
      </c>
      <c r="E223" s="92">
        <f>2897</f>
        <v>2897</v>
      </c>
      <c r="F223" s="92">
        <f>1209+1359</f>
        <v>2568</v>
      </c>
      <c r="G223" s="92"/>
      <c r="H223" s="52">
        <f>'4.pielikums'!B311</f>
        <v>52573</v>
      </c>
      <c r="I223" s="75"/>
    </row>
    <row r="224" spans="1:9" ht="15" customHeight="1">
      <c r="A224" s="56"/>
      <c r="B224" s="71" t="s">
        <v>207</v>
      </c>
      <c r="C224" s="59"/>
      <c r="D224" s="54">
        <f t="shared" si="13"/>
        <v>34190</v>
      </c>
      <c r="E224" s="92">
        <f>160+765</f>
        <v>925</v>
      </c>
      <c r="F224" s="92">
        <f>403+453</f>
        <v>856</v>
      </c>
      <c r="G224" s="92"/>
      <c r="H224" s="52">
        <f>'4.pielikums'!B313</f>
        <v>35971</v>
      </c>
      <c r="I224" s="75"/>
    </row>
    <row r="225" spans="1:9" ht="15" customHeight="1">
      <c r="A225" s="56"/>
      <c r="B225" s="84" t="s">
        <v>41</v>
      </c>
      <c r="C225" s="64"/>
      <c r="D225" s="54">
        <f t="shared" si="13"/>
        <v>26276</v>
      </c>
      <c r="E225" s="92">
        <v>600</v>
      </c>
      <c r="F225" s="92">
        <f>1209+1359</f>
        <v>2568</v>
      </c>
      <c r="G225" s="92"/>
      <c r="H225" s="52">
        <f>'4.pielikums'!B315</f>
        <v>29444</v>
      </c>
      <c r="I225" s="75"/>
    </row>
    <row r="226" spans="1:9" ht="15" customHeight="1">
      <c r="A226" s="56"/>
      <c r="B226" s="103" t="s">
        <v>156</v>
      </c>
      <c r="C226" s="59"/>
      <c r="D226" s="54">
        <f t="shared" si="13"/>
        <v>101627</v>
      </c>
      <c r="E226" s="92">
        <v>9600</v>
      </c>
      <c r="F226" s="92">
        <f>4030+4530</f>
        <v>8560</v>
      </c>
      <c r="G226" s="92"/>
      <c r="H226" s="52">
        <f>'4.pielikums'!B317</f>
        <v>119787</v>
      </c>
      <c r="I226" s="75"/>
    </row>
    <row r="227" spans="1:9" ht="15" customHeight="1">
      <c r="A227" s="56"/>
      <c r="B227" s="106" t="s">
        <v>155</v>
      </c>
      <c r="C227" s="59"/>
      <c r="D227" s="54">
        <f t="shared" si="13"/>
        <v>51963</v>
      </c>
      <c r="E227" s="92">
        <v>3770</v>
      </c>
      <c r="F227" s="92">
        <f>403+453</f>
        <v>856</v>
      </c>
      <c r="G227" s="92"/>
      <c r="H227" s="52">
        <f>'4.pielikums'!B319</f>
        <v>56589</v>
      </c>
      <c r="I227" s="75"/>
    </row>
    <row r="228" spans="1:9" ht="30" customHeight="1">
      <c r="A228" s="56"/>
      <c r="B228" s="103" t="s">
        <v>159</v>
      </c>
      <c r="C228" s="59"/>
      <c r="D228" s="54">
        <f t="shared" si="13"/>
        <v>30662</v>
      </c>
      <c r="E228" s="92">
        <f>1700</f>
        <v>1700</v>
      </c>
      <c r="F228" s="92">
        <f>1612+1812</f>
        <v>3424</v>
      </c>
      <c r="G228" s="92"/>
      <c r="H228" s="52">
        <f>'4.pielikums'!B321</f>
        <v>35786</v>
      </c>
      <c r="I228" s="75"/>
    </row>
    <row r="229" spans="1:9" ht="30" customHeight="1">
      <c r="A229" s="56"/>
      <c r="B229" s="103" t="s">
        <v>306</v>
      </c>
      <c r="C229" s="59"/>
      <c r="D229" s="54">
        <f>H229-E229-G229-F229-C229</f>
        <v>80550</v>
      </c>
      <c r="E229" s="92">
        <v>4675</v>
      </c>
      <c r="F229" s="92">
        <f>1612+1812</f>
        <v>3424</v>
      </c>
      <c r="G229" s="92"/>
      <c r="H229" s="52">
        <f>'4.pielikums'!B323+'4.pielikums'!B325+'4.pielikums'!B327</f>
        <v>88649</v>
      </c>
      <c r="I229" s="75"/>
    </row>
    <row r="230" spans="1:9" ht="15" customHeight="1">
      <c r="A230" s="15" t="s">
        <v>308</v>
      </c>
      <c r="B230" s="85" t="s">
        <v>309</v>
      </c>
      <c r="C230" s="68">
        <f>SUM(C231:C238)</f>
        <v>112700</v>
      </c>
      <c r="D230" s="68">
        <f>SUM(D231:D238)</f>
        <v>309721</v>
      </c>
      <c r="E230" s="285">
        <f>SUM(E231:E238)</f>
        <v>0</v>
      </c>
      <c r="F230" s="285">
        <f>SUM(F231:F247)</f>
        <v>30761</v>
      </c>
      <c r="G230" s="285">
        <f>SUM(G231:G238)</f>
        <v>283341</v>
      </c>
      <c r="H230" s="52">
        <f>SUM(H231:H247)</f>
        <v>736523.23</v>
      </c>
      <c r="I230" s="273"/>
    </row>
    <row r="231" spans="1:9" ht="15" customHeight="1">
      <c r="A231" s="56"/>
      <c r="B231" s="72" t="s">
        <v>178</v>
      </c>
      <c r="C231" s="59"/>
      <c r="D231" s="54">
        <f t="shared" si="13"/>
        <v>60613</v>
      </c>
      <c r="E231" s="92"/>
      <c r="F231" s="92"/>
      <c r="G231" s="92"/>
      <c r="H231" s="52">
        <f>'4.pielikums'!B331</f>
        <v>60613</v>
      </c>
      <c r="I231" s="75"/>
    </row>
    <row r="232" spans="1:9" ht="15" customHeight="1">
      <c r="A232" s="56"/>
      <c r="B232" s="94" t="s">
        <v>179</v>
      </c>
      <c r="C232" s="59"/>
      <c r="D232" s="54">
        <f>H232-E232-G232-F232-C232</f>
        <v>36083</v>
      </c>
      <c r="E232" s="92"/>
      <c r="F232" s="92"/>
      <c r="G232" s="92"/>
      <c r="H232" s="52">
        <f>'4.pielikums'!B333</f>
        <v>36083</v>
      </c>
      <c r="I232" s="75"/>
    </row>
    <row r="233" spans="1:9" ht="30" customHeight="1">
      <c r="A233" s="56"/>
      <c r="B233" s="71" t="s">
        <v>42</v>
      </c>
      <c r="C233" s="59"/>
      <c r="D233" s="54">
        <f t="shared" si="13"/>
        <v>67564</v>
      </c>
      <c r="E233" s="92"/>
      <c r="F233" s="92"/>
      <c r="G233" s="92"/>
      <c r="H233" s="52">
        <f>'4.pielikums'!B335</f>
        <v>67564</v>
      </c>
      <c r="I233" s="75"/>
    </row>
    <row r="234" spans="1:9" ht="45" customHeight="1">
      <c r="A234" s="56"/>
      <c r="B234" s="103" t="s">
        <v>229</v>
      </c>
      <c r="C234" s="59"/>
      <c r="D234" s="54">
        <f t="shared" si="13"/>
        <v>11810</v>
      </c>
      <c r="E234" s="92"/>
      <c r="F234" s="92"/>
      <c r="G234" s="92"/>
      <c r="H234" s="52">
        <f>'4.pielikums'!B329</f>
        <v>11810</v>
      </c>
      <c r="I234" s="75"/>
    </row>
    <row r="235" spans="1:9" ht="33.75" customHeight="1">
      <c r="A235" s="15"/>
      <c r="B235" s="71" t="s">
        <v>239</v>
      </c>
      <c r="C235" s="59"/>
      <c r="D235" s="54">
        <f t="shared" si="17" ref="D235:D240">H235-E235-G235-F235-C235</f>
        <v>28301</v>
      </c>
      <c r="E235" s="92"/>
      <c r="F235" s="92">
        <v>0</v>
      </c>
      <c r="G235" s="92">
        <v>283341</v>
      </c>
      <c r="H235" s="52">
        <f>'4.pielikums'!B484</f>
        <v>311642</v>
      </c>
      <c r="I235" s="75"/>
    </row>
    <row r="236" spans="1:9" ht="33.75" customHeight="1">
      <c r="A236" s="15"/>
      <c r="B236" s="71" t="s">
        <v>241</v>
      </c>
      <c r="C236" s="59">
        <v>112700</v>
      </c>
      <c r="D236" s="54">
        <f t="shared" si="17"/>
        <v>75510</v>
      </c>
      <c r="E236" s="92"/>
      <c r="F236" s="92"/>
      <c r="G236" s="54"/>
      <c r="H236" s="52">
        <f>'4.pielikums'!B478</f>
        <v>188210</v>
      </c>
      <c r="I236" s="75"/>
    </row>
    <row r="237" spans="1:9" ht="24.75" customHeight="1">
      <c r="A237" s="15"/>
      <c r="B237" s="71" t="s">
        <v>777</v>
      </c>
      <c r="C237" s="59"/>
      <c r="D237" s="54">
        <f t="shared" si="17"/>
        <v>21130</v>
      </c>
      <c r="E237" s="54"/>
      <c r="F237" s="54"/>
      <c r="G237" s="54"/>
      <c r="H237" s="52">
        <f>'4.pielikums'!B492</f>
        <v>21130</v>
      </c>
      <c r="I237" s="75"/>
    </row>
    <row r="238" spans="1:9" ht="30" customHeight="1">
      <c r="A238" s="15"/>
      <c r="B238" s="71" t="s">
        <v>759</v>
      </c>
      <c r="C238" s="59"/>
      <c r="D238" s="54">
        <f t="shared" si="17"/>
        <v>8710</v>
      </c>
      <c r="E238" s="54"/>
      <c r="F238" s="54">
        <v>3500</v>
      </c>
      <c r="G238" s="54"/>
      <c r="H238" s="52">
        <f>'4.pielikums'!B489</f>
        <v>12210</v>
      </c>
      <c r="I238" s="75"/>
    </row>
    <row r="239" spans="1:9" ht="54.75" customHeight="1">
      <c r="A239" s="15"/>
      <c r="B239" s="205" t="s">
        <v>842</v>
      </c>
      <c r="C239" s="59"/>
      <c r="D239" s="54">
        <f t="shared" si="17"/>
        <v>0</v>
      </c>
      <c r="E239" s="54"/>
      <c r="F239" s="54">
        <v>3500</v>
      </c>
      <c r="G239" s="54"/>
      <c r="H239" s="52">
        <f>'4.pielikums'!B495</f>
        <v>3500</v>
      </c>
      <c r="I239" s="75"/>
    </row>
    <row r="240" spans="1:9" ht="37.5" customHeight="1">
      <c r="A240" s="15"/>
      <c r="B240" s="71" t="s">
        <v>843</v>
      </c>
      <c r="C240" s="59"/>
      <c r="D240" s="54">
        <f t="shared" si="17"/>
        <v>0</v>
      </c>
      <c r="E240" s="54"/>
      <c r="F240" s="54">
        <v>2000</v>
      </c>
      <c r="G240" s="54"/>
      <c r="H240" s="52">
        <f>'4.pielikums'!B496</f>
        <v>2000</v>
      </c>
      <c r="I240" s="75"/>
    </row>
    <row r="241" spans="1:9" ht="37.5" customHeight="1">
      <c r="A241" s="15"/>
      <c r="B241" s="71" t="s">
        <v>848</v>
      </c>
      <c r="C241" s="59"/>
      <c r="D241" s="54">
        <f t="shared" si="18" ref="D241:D247">H241-E241-G241-F241-C241</f>
        <v>0</v>
      </c>
      <c r="E241" s="54"/>
      <c r="F241" s="54">
        <v>2400</v>
      </c>
      <c r="G241" s="54"/>
      <c r="H241" s="52">
        <f>'4.pielikums'!B497</f>
        <v>2400</v>
      </c>
      <c r="I241" s="75"/>
    </row>
    <row r="242" spans="1:10" ht="37.5" customHeight="1">
      <c r="A242" s="15"/>
      <c r="B242" s="71" t="s">
        <v>846</v>
      </c>
      <c r="C242" s="59"/>
      <c r="D242" s="54">
        <f t="shared" si="18"/>
        <v>0</v>
      </c>
      <c r="E242" s="54"/>
      <c r="F242" s="54">
        <v>2000</v>
      </c>
      <c r="G242" s="54"/>
      <c r="H242" s="52">
        <f>'4.pielikums'!B498</f>
        <v>2000</v>
      </c>
      <c r="I242" s="75"/>
      <c r="J242" s="75"/>
    </row>
    <row r="243" spans="1:9" ht="37.5" customHeight="1">
      <c r="A243" s="15"/>
      <c r="B243" s="71" t="s">
        <v>847</v>
      </c>
      <c r="C243" s="59"/>
      <c r="D243" s="54">
        <f t="shared" si="18"/>
        <v>0</v>
      </c>
      <c r="E243" s="54"/>
      <c r="F243" s="54">
        <v>1000</v>
      </c>
      <c r="G243" s="54"/>
      <c r="H243" s="52">
        <f>'4.pielikums'!B499</f>
        <v>1000</v>
      </c>
      <c r="I243" s="75"/>
    </row>
    <row r="244" spans="1:9" ht="37.5" customHeight="1">
      <c r="A244" s="15"/>
      <c r="B244" s="71" t="s">
        <v>854</v>
      </c>
      <c r="C244" s="59"/>
      <c r="D244" s="54">
        <f t="shared" si="18"/>
        <v>0</v>
      </c>
      <c r="E244" s="54"/>
      <c r="F244" s="54">
        <v>400</v>
      </c>
      <c r="G244" s="54"/>
      <c r="H244" s="228">
        <f>'4.pielikums'!B500</f>
        <v>400</v>
      </c>
      <c r="I244" s="75"/>
    </row>
    <row r="245" spans="1:9" ht="37.5" customHeight="1">
      <c r="A245" s="15"/>
      <c r="B245" s="71" t="s">
        <v>849</v>
      </c>
      <c r="C245" s="59"/>
      <c r="D245" s="54">
        <f t="shared" si="18"/>
        <v>0</v>
      </c>
      <c r="E245" s="54"/>
      <c r="F245" s="54">
        <v>5300</v>
      </c>
      <c r="G245" s="54"/>
      <c r="H245" s="52">
        <f>'4.pielikums'!B501</f>
        <v>5300</v>
      </c>
      <c r="I245" s="75"/>
    </row>
    <row r="246" spans="1:9" ht="56.25" customHeight="1">
      <c r="A246" s="15"/>
      <c r="B246" s="71" t="s">
        <v>850</v>
      </c>
      <c r="C246" s="59"/>
      <c r="D246" s="54">
        <f t="shared" si="18"/>
        <v>0</v>
      </c>
      <c r="E246" s="54"/>
      <c r="F246" s="54">
        <v>10000</v>
      </c>
      <c r="G246" s="54"/>
      <c r="H246" s="52">
        <f>'4.pielikums'!B502</f>
        <v>10000</v>
      </c>
      <c r="I246" s="75"/>
    </row>
    <row r="247" spans="1:9" ht="18.75" customHeight="1">
      <c r="A247" s="15"/>
      <c r="B247" s="71" t="s">
        <v>866</v>
      </c>
      <c r="C247" s="59"/>
      <c r="D247" s="54">
        <f t="shared" si="18"/>
        <v>0.23000000000001819</v>
      </c>
      <c r="E247" s="54"/>
      <c r="F247" s="54">
        <v>661</v>
      </c>
      <c r="G247" s="54"/>
      <c r="H247" s="52">
        <f>'4.pielikums'!B505</f>
        <v>661.23</v>
      </c>
      <c r="I247" s="75"/>
    </row>
    <row r="248" spans="1:9" ht="15" customHeight="1">
      <c r="A248" s="15" t="s">
        <v>310</v>
      </c>
      <c r="B248" s="83" t="s">
        <v>311</v>
      </c>
      <c r="C248" s="63">
        <f t="shared" si="19" ref="C248:G248">C249+C257+C268+C276+C284+C286</f>
        <v>92019</v>
      </c>
      <c r="D248" s="63">
        <f t="shared" si="19"/>
        <v>8839328.9800000004</v>
      </c>
      <c r="E248" s="63">
        <f t="shared" si="19"/>
        <v>724658</v>
      </c>
      <c r="F248" s="63">
        <f>F249+F257+F268+F276+F284+F286</f>
        <v>8045224</v>
      </c>
      <c r="G248" s="63">
        <f t="shared" si="19"/>
        <v>0</v>
      </c>
      <c r="H248" s="52">
        <f>H249+H257+H268+H276+H284+H286</f>
        <v>17701229.98</v>
      </c>
      <c r="I248" s="272"/>
    </row>
    <row r="249" spans="1:9" ht="15" customHeight="1">
      <c r="A249" s="15"/>
      <c r="B249" s="83" t="s">
        <v>312</v>
      </c>
      <c r="C249" s="63">
        <f t="shared" si="20" ref="C249:G249">SUM(C250:C255)</f>
        <v>0</v>
      </c>
      <c r="D249" s="63">
        <f t="shared" si="20"/>
        <v>1758874</v>
      </c>
      <c r="E249" s="63">
        <f t="shared" si="20"/>
        <v>414194</v>
      </c>
      <c r="F249" s="63">
        <f>SUM(F250:F255)</f>
        <v>603156</v>
      </c>
      <c r="G249" s="63">
        <f t="shared" si="20"/>
        <v>0</v>
      </c>
      <c r="H249" s="52">
        <f>SUM(H250:H255)</f>
        <v>2776224</v>
      </c>
      <c r="I249" s="273"/>
    </row>
    <row r="250" spans="1:9" ht="15" customHeight="1">
      <c r="A250" s="56"/>
      <c r="B250" s="95" t="s">
        <v>43</v>
      </c>
      <c r="C250" s="64"/>
      <c r="D250" s="54">
        <f t="shared" si="21" ref="D250:D254">H250-E250-G250-F250-C250</f>
        <v>522645</v>
      </c>
      <c r="E250" s="54">
        <f>41200+223168</f>
        <v>264368</v>
      </c>
      <c r="F250" s="54">
        <f>223168+3429+893+6896+92512</f>
        <v>326898</v>
      </c>
      <c r="G250" s="54"/>
      <c r="H250" s="52">
        <f>'4.pielikums'!B337</f>
        <v>1113911</v>
      </c>
      <c r="I250" s="75"/>
    </row>
    <row r="251" spans="1:9" ht="15" customHeight="1">
      <c r="A251" s="56"/>
      <c r="B251" s="95" t="s">
        <v>44</v>
      </c>
      <c r="C251" s="64"/>
      <c r="D251" s="54">
        <f t="shared" si="21"/>
        <v>465223</v>
      </c>
      <c r="E251" s="54">
        <f>25000+81680</f>
        <v>106680</v>
      </c>
      <c r="F251" s="54">
        <f>81680+2030+1294+41544</f>
        <v>126548</v>
      </c>
      <c r="G251" s="54"/>
      <c r="H251" s="52">
        <f>'4.pielikums'!B339</f>
        <v>698451</v>
      </c>
      <c r="I251" s="75"/>
    </row>
    <row r="252" spans="1:9" ht="15" customHeight="1">
      <c r="A252" s="56"/>
      <c r="B252" s="95" t="s">
        <v>45</v>
      </c>
      <c r="C252" s="64"/>
      <c r="D252" s="54">
        <f t="shared" si="21"/>
        <v>106566</v>
      </c>
      <c r="E252" s="92">
        <f>3700+12320</f>
        <v>16020</v>
      </c>
      <c r="F252" s="54">
        <f>12320+210+4224</f>
        <v>16754</v>
      </c>
      <c r="G252" s="54"/>
      <c r="H252" s="52">
        <f>'4.pielikums'!B341</f>
        <v>139340</v>
      </c>
      <c r="I252" s="75"/>
    </row>
    <row r="253" spans="1:15" ht="15" customHeight="1">
      <c r="A253" s="56"/>
      <c r="B253" s="95" t="s">
        <v>46</v>
      </c>
      <c r="C253" s="64"/>
      <c r="D253" s="54">
        <f t="shared" si="21"/>
        <v>303934</v>
      </c>
      <c r="E253" s="92">
        <f>12551+1875</f>
        <v>14426</v>
      </c>
      <c r="F253" s="54">
        <f>36616+910+9860</f>
        <v>47386</v>
      </c>
      <c r="G253" s="54"/>
      <c r="H253" s="52">
        <f>'4.pielikums'!B343</f>
        <v>365746</v>
      </c>
      <c r="I253" s="75"/>
      <c r="O253" s="243"/>
    </row>
    <row r="254" spans="1:9" ht="30" customHeight="1">
      <c r="A254" s="56"/>
      <c r="B254" s="106" t="s">
        <v>165</v>
      </c>
      <c r="C254" s="59"/>
      <c r="D254" s="54">
        <f t="shared" si="21"/>
        <v>265007</v>
      </c>
      <c r="E254" s="92">
        <v>8300</v>
      </c>
      <c r="F254" s="92">
        <f>41499+980+25700+487</f>
        <v>68666</v>
      </c>
      <c r="G254" s="54"/>
      <c r="H254" s="52">
        <f>'4.pielikums'!B345</f>
        <v>341973</v>
      </c>
      <c r="I254" s="75"/>
    </row>
    <row r="255" spans="1:13" ht="30" customHeight="1">
      <c r="A255" s="56"/>
      <c r="B255" s="106" t="s">
        <v>166</v>
      </c>
      <c r="C255" s="59"/>
      <c r="D255" s="54">
        <f>H255-E255-G255-F255-C255</f>
        <v>95499</v>
      </c>
      <c r="E255" s="92">
        <f>3850+550</f>
        <v>4400</v>
      </c>
      <c r="F255" s="92">
        <f>16904+420-420</f>
        <v>16904</v>
      </c>
      <c r="G255" s="54"/>
      <c r="H255" s="52">
        <f>'4.pielikums'!B347</f>
        <v>116803</v>
      </c>
      <c r="I255" s="75"/>
      <c r="M255" s="247"/>
    </row>
    <row r="256" spans="1:9" ht="31.5">
      <c r="A256" s="15"/>
      <c r="B256" s="245" t="s">
        <v>313</v>
      </c>
      <c r="C256" s="62"/>
      <c r="D256" s="54"/>
      <c r="E256" s="92"/>
      <c r="F256" s="92"/>
      <c r="G256" s="54"/>
      <c r="H256" s="52"/>
      <c r="I256" s="75"/>
    </row>
    <row r="257" spans="1:9" ht="15" customHeight="1">
      <c r="A257" s="15"/>
      <c r="B257" s="96" t="s">
        <v>314</v>
      </c>
      <c r="C257" s="63">
        <f>SUM(C258:C267)</f>
        <v>0</v>
      </c>
      <c r="D257" s="63">
        <f t="shared" si="22" ref="D257:G257">SUM(D258:D267)</f>
        <v>2342042</v>
      </c>
      <c r="E257" s="63">
        <f t="shared" si="22"/>
        <v>82925</v>
      </c>
      <c r="F257" s="128">
        <f>SUM(F258:F267)</f>
        <v>2778289</v>
      </c>
      <c r="G257" s="63">
        <f t="shared" si="22"/>
        <v>0</v>
      </c>
      <c r="H257" s="52">
        <f>SUM(H258:H267)</f>
        <v>5203256</v>
      </c>
      <c r="I257" s="273"/>
    </row>
    <row r="258" spans="1:9" ht="15" customHeight="1">
      <c r="A258" s="56"/>
      <c r="B258" s="95" t="s">
        <v>83</v>
      </c>
      <c r="C258" s="64"/>
      <c r="D258" s="54">
        <f t="shared" si="23" ref="D258:D328">H258-E258-G258-F258-C258</f>
        <v>488919</v>
      </c>
      <c r="E258" s="92">
        <f>1332+6047</f>
        <v>7379</v>
      </c>
      <c r="F258" s="99">
        <f>17416+657336+81018+16271+552+1930+318908+5208+3624+164+1944+4177</f>
        <v>1108548</v>
      </c>
      <c r="G258" s="54"/>
      <c r="H258" s="52">
        <f>'4.pielikums'!B349</f>
        <v>1604846</v>
      </c>
      <c r="I258" s="75"/>
    </row>
    <row r="259" spans="1:9" ht="15" customHeight="1">
      <c r="A259" s="56"/>
      <c r="B259" s="95" t="s">
        <v>173</v>
      </c>
      <c r="C259" s="64"/>
      <c r="D259" s="54">
        <f t="shared" si="23"/>
        <v>368614</v>
      </c>
      <c r="E259" s="92">
        <v>17074</v>
      </c>
      <c r="F259" s="92">
        <f>6605+105784+6096+16904+2309+3900+1810+7040+52040+3396-229+2813</f>
        <v>208468</v>
      </c>
      <c r="G259" s="54"/>
      <c r="H259" s="52">
        <f>'4.pielikums'!B351</f>
        <v>594156</v>
      </c>
      <c r="I259" s="75"/>
    </row>
    <row r="260" spans="1:9" ht="30" customHeight="1">
      <c r="A260" s="56"/>
      <c r="B260" s="94" t="s">
        <v>316</v>
      </c>
      <c r="C260" s="91"/>
      <c r="D260" s="92">
        <f t="shared" si="23"/>
        <v>20661</v>
      </c>
      <c r="E260" s="92">
        <v>100</v>
      </c>
      <c r="F260" s="92"/>
      <c r="G260" s="92"/>
      <c r="H260" s="52">
        <f>'4.pielikums'!B353</f>
        <v>20761</v>
      </c>
      <c r="I260" s="75"/>
    </row>
    <row r="261" spans="1:9" ht="15" customHeight="1">
      <c r="A261" s="56"/>
      <c r="B261" s="95" t="s">
        <v>315</v>
      </c>
      <c r="C261" s="64"/>
      <c r="D261" s="54">
        <f t="shared" si="23"/>
        <v>227254</v>
      </c>
      <c r="E261" s="92">
        <v>7050</v>
      </c>
      <c r="F261" s="99">
        <f>5509+10912+214456+2176+55171+5509+2344+3900+15336+110432+1132+224-229</f>
        <v>426872</v>
      </c>
      <c r="G261" s="54"/>
      <c r="H261" s="52">
        <f>'4.pielikums'!B355</f>
        <v>661176</v>
      </c>
      <c r="I261" s="75"/>
    </row>
    <row r="262" spans="1:9" ht="15" customHeight="1">
      <c r="A262" s="56"/>
      <c r="B262" s="95" t="s">
        <v>47</v>
      </c>
      <c r="C262" s="64"/>
      <c r="D262" s="54">
        <f t="shared" si="23"/>
        <v>206152</v>
      </c>
      <c r="E262" s="92">
        <f>2574</f>
        <v>2574</v>
      </c>
      <c r="F262" s="92">
        <f>6341+4352+189800+2030+106624+2036+680+229+2559</f>
        <v>314651</v>
      </c>
      <c r="G262" s="54"/>
      <c r="H262" s="52">
        <f>'4.pielikums'!B357</f>
        <v>523377</v>
      </c>
      <c r="I262" s="75"/>
    </row>
    <row r="263" spans="1:18" ht="15" customHeight="1">
      <c r="A263" s="56"/>
      <c r="B263" s="95" t="s">
        <v>234</v>
      </c>
      <c r="C263" s="64"/>
      <c r="D263" s="54">
        <f t="shared" si="23"/>
        <v>348426</v>
      </c>
      <c r="E263" s="92">
        <f>7988+17500+5000+3475</f>
        <v>33963</v>
      </c>
      <c r="F263" s="92">
        <f>27585+10016+299232+11812+18304+7512+3989+7748+156792+3624+2264-229</f>
        <v>548649</v>
      </c>
      <c r="G263" s="54"/>
      <c r="H263" s="52">
        <f>'4.pielikums'!B359</f>
        <v>931038</v>
      </c>
      <c r="I263" s="75"/>
      <c r="R263" s="87"/>
    </row>
    <row r="264" spans="1:9" ht="30" customHeight="1">
      <c r="A264" s="56"/>
      <c r="B264" s="94" t="s">
        <v>236</v>
      </c>
      <c r="C264" s="59"/>
      <c r="D264" s="54">
        <f t="shared" si="23"/>
        <v>146387</v>
      </c>
      <c r="E264" s="92">
        <v>7556</v>
      </c>
      <c r="F264" s="92"/>
      <c r="G264" s="54"/>
      <c r="H264" s="52">
        <f>'4.pielikums'!B361</f>
        <v>153943</v>
      </c>
      <c r="I264" s="75"/>
    </row>
    <row r="265" spans="1:9" ht="30" customHeight="1">
      <c r="A265" s="56"/>
      <c r="B265" s="94" t="s">
        <v>235</v>
      </c>
      <c r="C265" s="59"/>
      <c r="D265" s="54">
        <f t="shared" si="23"/>
        <v>84724</v>
      </c>
      <c r="E265" s="92">
        <f>2819+500</f>
        <v>3319</v>
      </c>
      <c r="F265" s="92"/>
      <c r="G265" s="54"/>
      <c r="H265" s="52">
        <f>'4.pielikums'!B363</f>
        <v>88043</v>
      </c>
      <c r="I265" s="75"/>
    </row>
    <row r="266" spans="1:9" ht="15" customHeight="1">
      <c r="A266" s="56"/>
      <c r="B266" s="106" t="s">
        <v>163</v>
      </c>
      <c r="C266" s="59"/>
      <c r="D266" s="54">
        <f t="shared" si="23"/>
        <v>318688</v>
      </c>
      <c r="E266" s="92">
        <v>2650</v>
      </c>
      <c r="F266" s="92">
        <f>2446+159280+4792+5640+2869-2536-1829</f>
        <v>170662</v>
      </c>
      <c r="G266" s="54"/>
      <c r="H266" s="52">
        <f>'4.pielikums'!B365</f>
        <v>492000</v>
      </c>
      <c r="I266" s="75"/>
    </row>
    <row r="267" spans="1:9" ht="15" customHeight="1">
      <c r="A267" s="56"/>
      <c r="B267" s="95" t="s">
        <v>258</v>
      </c>
      <c r="C267" s="64"/>
      <c r="D267" s="54">
        <f t="shared" si="23"/>
        <v>132217</v>
      </c>
      <c r="E267" s="92">
        <f>1150+110</f>
        <v>1260</v>
      </c>
      <c r="F267" s="92">
        <f>1925-1486</f>
        <v>439</v>
      </c>
      <c r="G267" s="54"/>
      <c r="H267" s="52">
        <f>'4.pielikums'!B367</f>
        <v>133916</v>
      </c>
      <c r="I267" s="75"/>
    </row>
    <row r="268" spans="1:9" ht="15" customHeight="1">
      <c r="A268" s="15"/>
      <c r="B268" s="96" t="s">
        <v>317</v>
      </c>
      <c r="C268" s="63">
        <f t="shared" si="24" ref="C268:G268">SUM(C269:C275)</f>
        <v>0</v>
      </c>
      <c r="D268" s="63">
        <f t="shared" si="24"/>
        <v>2555215</v>
      </c>
      <c r="E268" s="63">
        <f t="shared" si="24"/>
        <v>96278</v>
      </c>
      <c r="F268" s="128">
        <f>SUM(F269:F275)</f>
        <v>3140220</v>
      </c>
      <c r="G268" s="63">
        <f t="shared" si="24"/>
        <v>0</v>
      </c>
      <c r="H268" s="52">
        <f>SUM(H269:H275)</f>
        <v>5791713</v>
      </c>
      <c r="I268" s="273"/>
    </row>
    <row r="269" spans="1:9" ht="15" customHeight="1">
      <c r="A269" s="56"/>
      <c r="B269" s="95" t="s">
        <v>48</v>
      </c>
      <c r="C269" s="64"/>
      <c r="D269" s="54">
        <f t="shared" si="23"/>
        <v>481149</v>
      </c>
      <c r="E269" s="92">
        <v>18072</v>
      </c>
      <c r="F269" s="92">
        <f>10448+503312+9098+5273+245140+5884+1360</f>
        <v>780515</v>
      </c>
      <c r="G269" s="54"/>
      <c r="H269" s="52">
        <f>'4.pielikums'!B368</f>
        <v>1279736</v>
      </c>
      <c r="I269" s="75"/>
    </row>
    <row r="270" spans="1:9" ht="15" customHeight="1">
      <c r="A270" s="56"/>
      <c r="B270" s="95" t="s">
        <v>737</v>
      </c>
      <c r="C270" s="64"/>
      <c r="D270" s="54">
        <f t="shared" si="23"/>
        <v>349449</v>
      </c>
      <c r="E270" s="92">
        <v>8540</v>
      </c>
      <c r="F270" s="92">
        <f>11842+10448+259112+5249+3900+173128+4300+2268+1482+2058</f>
        <v>473787</v>
      </c>
      <c r="G270" s="54"/>
      <c r="H270" s="52">
        <f>'4.pielikums'!B370</f>
        <v>831776</v>
      </c>
      <c r="I270" s="75"/>
    </row>
    <row r="271" spans="1:9" ht="30" customHeight="1">
      <c r="A271" s="56"/>
      <c r="B271" s="94" t="s">
        <v>318</v>
      </c>
      <c r="C271" s="91"/>
      <c r="D271" s="54">
        <f t="shared" si="23"/>
        <v>518367</v>
      </c>
      <c r="E271" s="92">
        <v>9950</v>
      </c>
      <c r="F271" s="92">
        <f>10880+277968+182000+5459+2128+1188+125092+90452+1584+3172+41</f>
        <v>699964</v>
      </c>
      <c r="G271" s="54"/>
      <c r="H271" s="52">
        <f>'4.pielikums'!B372</f>
        <v>1228281</v>
      </c>
      <c r="I271" s="75"/>
    </row>
    <row r="272" spans="1:9" ht="30" customHeight="1">
      <c r="A272" s="56"/>
      <c r="B272" s="94" t="s">
        <v>716</v>
      </c>
      <c r="C272" s="59"/>
      <c r="D272" s="54">
        <f t="shared" si="23"/>
        <v>53796</v>
      </c>
      <c r="E272" s="92">
        <v>16000</v>
      </c>
      <c r="F272" s="92">
        <v>3000</v>
      </c>
      <c r="G272" s="54"/>
      <c r="H272" s="52">
        <f>'4.pielikums'!B374</f>
        <v>72796</v>
      </c>
      <c r="I272" s="75"/>
    </row>
    <row r="273" spans="1:9" ht="15" customHeight="1">
      <c r="A273" s="56"/>
      <c r="B273" s="94" t="s">
        <v>170</v>
      </c>
      <c r="C273" s="59"/>
      <c r="D273" s="54">
        <f t="shared" si="23"/>
        <v>240289</v>
      </c>
      <c r="E273" s="92">
        <f>1700+2500</f>
        <v>4200</v>
      </c>
      <c r="F273" s="92">
        <f>9472+30984+10016+170680+4339+3900+17604+81252+3396+904-800</f>
        <v>331747</v>
      </c>
      <c r="G273" s="54"/>
      <c r="H273" s="52">
        <f>'4.pielikums'!B376</f>
        <v>576236</v>
      </c>
      <c r="I273" s="75"/>
    </row>
    <row r="274" spans="1:9" ht="15" customHeight="1">
      <c r="A274" s="56"/>
      <c r="B274" s="94" t="s">
        <v>162</v>
      </c>
      <c r="C274" s="59"/>
      <c r="D274" s="54">
        <f t="shared" si="23"/>
        <v>435436</v>
      </c>
      <c r="E274" s="92">
        <f>4100+2201+1560+5440</f>
        <v>13301</v>
      </c>
      <c r="F274" s="92">
        <f>9698+38920+171656+6968+4409+3900+1434+5550+149+22984+107368+2488+1360+782+1143+2369</f>
        <v>381178</v>
      </c>
      <c r="G274" s="54"/>
      <c r="H274" s="52">
        <f>'4.pielikums'!B378</f>
        <v>829915</v>
      </c>
      <c r="I274" s="75"/>
    </row>
    <row r="275" spans="1:9" ht="15" customHeight="1">
      <c r="A275" s="56"/>
      <c r="B275" s="94" t="s">
        <v>175</v>
      </c>
      <c r="C275" s="59"/>
      <c r="D275" s="54">
        <f t="shared" si="23"/>
        <v>476729</v>
      </c>
      <c r="E275" s="99">
        <f>10540+15675</f>
        <v>26215</v>
      </c>
      <c r="F275" s="92">
        <f>12596+9144+242440+47880+6299+3900+16900+124176+3396+1812+1486</f>
        <v>470029</v>
      </c>
      <c r="G275" s="54"/>
      <c r="H275" s="52">
        <f>'4.pielikums'!B380</f>
        <v>972973</v>
      </c>
      <c r="I275" s="75"/>
    </row>
    <row r="276" spans="1:9" ht="30" customHeight="1">
      <c r="A276" s="69"/>
      <c r="B276" s="245" t="s">
        <v>319</v>
      </c>
      <c r="C276" s="63">
        <f t="shared" si="25" ref="C276:G276">SUM(C277:C283)</f>
        <v>0</v>
      </c>
      <c r="D276" s="63">
        <f t="shared" si="25"/>
        <v>1113782</v>
      </c>
      <c r="E276" s="63">
        <f>SUM(E277:E283)</f>
        <v>124861</v>
      </c>
      <c r="F276" s="128">
        <f>SUM(F277:F283)</f>
        <v>1270053</v>
      </c>
      <c r="G276" s="63">
        <f t="shared" si="25"/>
        <v>0</v>
      </c>
      <c r="H276" s="52">
        <f>SUM(H277:H283)</f>
        <v>2508696</v>
      </c>
      <c r="I276" s="273"/>
    </row>
    <row r="277" spans="1:9" ht="15" customHeight="1">
      <c r="A277" s="56"/>
      <c r="B277" s="95" t="s">
        <v>49</v>
      </c>
      <c r="C277" s="64"/>
      <c r="D277" s="54">
        <f t="shared" si="23"/>
        <v>169476</v>
      </c>
      <c r="E277" s="92">
        <v>10454</v>
      </c>
      <c r="F277" s="92">
        <f>336467+6528+5208+242569</f>
        <v>590772</v>
      </c>
      <c r="G277" s="54"/>
      <c r="H277" s="52">
        <f>'4.pielikums'!B382</f>
        <v>770702</v>
      </c>
      <c r="I277" s="75"/>
    </row>
    <row r="278" spans="1:11" ht="15" customHeight="1">
      <c r="A278" s="56"/>
      <c r="B278" s="95" t="s">
        <v>50</v>
      </c>
      <c r="C278" s="64"/>
      <c r="D278" s="54">
        <f t="shared" si="23"/>
        <v>152379</v>
      </c>
      <c r="E278" s="92">
        <v>8020</v>
      </c>
      <c r="F278" s="92">
        <f>38727+2616+908+904+26525</f>
        <v>69680</v>
      </c>
      <c r="G278" s="54"/>
      <c r="H278" s="52">
        <f>'4.pielikums'!B384</f>
        <v>230079</v>
      </c>
      <c r="I278" s="75"/>
      <c r="J278" s="248"/>
      <c r="K278" s="248"/>
    </row>
    <row r="279" spans="1:9" ht="15" customHeight="1">
      <c r="A279" s="56"/>
      <c r="B279" s="229" t="s">
        <v>169</v>
      </c>
      <c r="C279" s="59"/>
      <c r="D279" s="54">
        <f t="shared" si="23"/>
        <v>105963</v>
      </c>
      <c r="E279" s="92">
        <v>1775</v>
      </c>
      <c r="F279" s="92">
        <f>432+63129</f>
        <v>63561</v>
      </c>
      <c r="G279" s="54"/>
      <c r="H279" s="52">
        <f>'4.pielikums'!B386</f>
        <v>171299</v>
      </c>
      <c r="I279" s="75"/>
    </row>
    <row r="280" spans="1:9" ht="15" customHeight="1">
      <c r="A280" s="56"/>
      <c r="B280" s="106" t="s">
        <v>161</v>
      </c>
      <c r="C280" s="59"/>
      <c r="D280" s="54">
        <f t="shared" si="23"/>
        <v>45632</v>
      </c>
      <c r="E280" s="92">
        <f>4100+396</f>
        <v>4496</v>
      </c>
      <c r="F280" s="92">
        <f>99734+1744</f>
        <v>101478</v>
      </c>
      <c r="G280" s="54"/>
      <c r="H280" s="52">
        <f>'4.pielikums'!B388</f>
        <v>151606</v>
      </c>
      <c r="I280" s="75"/>
    </row>
    <row r="281" spans="1:9" ht="15" customHeight="1">
      <c r="A281" s="56"/>
      <c r="B281" s="95" t="s">
        <v>51</v>
      </c>
      <c r="C281" s="64"/>
      <c r="D281" s="54">
        <f t="shared" si="23"/>
        <v>266717</v>
      </c>
      <c r="E281" s="92">
        <f>300+2300</f>
        <v>2600</v>
      </c>
      <c r="F281" s="99">
        <f>374372+7960+4980+4878</f>
        <v>392190</v>
      </c>
      <c r="G281" s="54"/>
      <c r="H281" s="52">
        <f>'4.pielikums'!B390</f>
        <v>661507</v>
      </c>
      <c r="I281" s="286"/>
    </row>
    <row r="282" spans="1:9" ht="15" customHeight="1">
      <c r="A282" s="56"/>
      <c r="B282" s="95" t="s">
        <v>320</v>
      </c>
      <c r="C282" s="64"/>
      <c r="D282" s="54">
        <f t="shared" si="23"/>
        <v>142239</v>
      </c>
      <c r="E282" s="92">
        <f>77384+17780</f>
        <v>95164</v>
      </c>
      <c r="F282" s="93"/>
      <c r="G282" s="54"/>
      <c r="H282" s="52">
        <f>'4.pielikums'!B392</f>
        <v>237403</v>
      </c>
      <c r="I282" s="75"/>
    </row>
    <row r="283" spans="1:9" ht="15" customHeight="1">
      <c r="A283" s="56"/>
      <c r="B283" s="95" t="s">
        <v>321</v>
      </c>
      <c r="C283" s="64"/>
      <c r="D283" s="54">
        <f t="shared" si="23"/>
        <v>231376</v>
      </c>
      <c r="E283" s="54">
        <v>2352</v>
      </c>
      <c r="F283" s="92">
        <f>35815+16557</f>
        <v>52372</v>
      </c>
      <c r="G283" s="54"/>
      <c r="H283" s="52">
        <f>'4.pielikums'!B394</f>
        <v>286100</v>
      </c>
      <c r="I283" s="75"/>
    </row>
    <row r="284" spans="1:9" ht="15" customHeight="1">
      <c r="A284" s="15"/>
      <c r="B284" s="109" t="s">
        <v>322</v>
      </c>
      <c r="C284" s="63">
        <f t="shared" si="26" ref="C284:H284">C285</f>
        <v>0</v>
      </c>
      <c r="D284" s="63">
        <f t="shared" si="26"/>
        <v>245793</v>
      </c>
      <c r="E284" s="63">
        <f t="shared" si="26"/>
        <v>0</v>
      </c>
      <c r="F284" s="128">
        <f t="shared" si="26"/>
        <v>0</v>
      </c>
      <c r="G284" s="63">
        <f t="shared" si="26"/>
        <v>0</v>
      </c>
      <c r="H284" s="52">
        <f t="shared" si="26"/>
        <v>245793</v>
      </c>
      <c r="I284" s="75"/>
    </row>
    <row r="285" spans="1:17" ht="15" customHeight="1">
      <c r="A285" s="60"/>
      <c r="B285" s="71" t="s">
        <v>168</v>
      </c>
      <c r="C285" s="59"/>
      <c r="D285" s="54">
        <f t="shared" si="23"/>
        <v>245793</v>
      </c>
      <c r="E285" s="54"/>
      <c r="F285" s="54"/>
      <c r="G285" s="54"/>
      <c r="H285" s="52">
        <f>'4.pielikums'!B396</f>
        <v>245793</v>
      </c>
      <c r="I285" s="75"/>
      <c r="J285" s="80"/>
      <c r="K285" s="80"/>
      <c r="L285" s="80"/>
      <c r="M285" s="80"/>
      <c r="N285" s="80"/>
      <c r="P285" s="80"/>
      <c r="Q285" s="80"/>
    </row>
    <row r="286" spans="1:15" ht="30" customHeight="1">
      <c r="A286" s="67"/>
      <c r="B286" s="109" t="s">
        <v>323</v>
      </c>
      <c r="C286" s="63">
        <f>SUM(C287:C323)</f>
        <v>92019</v>
      </c>
      <c r="D286" s="63">
        <f>SUM(D287:D323)</f>
        <v>823622.98</v>
      </c>
      <c r="E286" s="63">
        <f>SUM(E287:E323)</f>
        <v>6400</v>
      </c>
      <c r="F286" s="63">
        <f>SUM(F287:F323)</f>
        <v>253506</v>
      </c>
      <c r="G286" s="63">
        <f>SUM(G287:G312)</f>
        <v>0</v>
      </c>
      <c r="H286" s="52">
        <f>SUM(H287:H323)</f>
        <v>1175547.98</v>
      </c>
      <c r="I286" s="273"/>
      <c r="J286" s="75"/>
      <c r="O286" s="249"/>
    </row>
    <row r="287" spans="1:17" ht="15" customHeight="1">
      <c r="A287" s="55"/>
      <c r="B287" s="94" t="s">
        <v>177</v>
      </c>
      <c r="C287" s="58"/>
      <c r="D287" s="54">
        <f t="shared" si="23"/>
        <v>69488</v>
      </c>
      <c r="E287" s="54">
        <f>5000</f>
        <v>5000</v>
      </c>
      <c r="F287" s="54"/>
      <c r="G287" s="54"/>
      <c r="H287" s="52">
        <f>'4.pielikums'!B397</f>
        <v>74488</v>
      </c>
      <c r="I287" s="75"/>
      <c r="Q287" s="248"/>
    </row>
    <row r="288" spans="1:9" ht="15" customHeight="1">
      <c r="A288" s="56"/>
      <c r="B288" s="103" t="s">
        <v>67</v>
      </c>
      <c r="C288" s="58"/>
      <c r="D288" s="54">
        <f>H288-E288-G288-F288-C288</f>
        <v>0</v>
      </c>
      <c r="E288" s="54"/>
      <c r="F288" s="92">
        <v>48689</v>
      </c>
      <c r="G288" s="54"/>
      <c r="H288" s="52">
        <f>'4.pielikums'!B399</f>
        <v>48689</v>
      </c>
      <c r="I288" s="75"/>
    </row>
    <row r="289" spans="1:9" ht="15" customHeight="1">
      <c r="A289" s="56"/>
      <c r="B289" s="102" t="s">
        <v>209</v>
      </c>
      <c r="C289" s="58"/>
      <c r="D289" s="54">
        <f t="shared" si="23"/>
        <v>20373</v>
      </c>
      <c r="E289" s="54"/>
      <c r="F289" s="54"/>
      <c r="G289" s="54"/>
      <c r="H289" s="52">
        <f>'4.pielikums'!B401</f>
        <v>20373</v>
      </c>
      <c r="I289" s="75"/>
    </row>
    <row r="290" spans="1:9" ht="30" customHeight="1">
      <c r="A290" s="56"/>
      <c r="B290" s="110" t="s">
        <v>195</v>
      </c>
      <c r="C290" s="58"/>
      <c r="D290" s="54">
        <f t="shared" si="23"/>
        <v>20934</v>
      </c>
      <c r="E290" s="54"/>
      <c r="F290" s="54"/>
      <c r="G290" s="54"/>
      <c r="H290" s="52">
        <f>'4.pielikums'!B403</f>
        <v>20934</v>
      </c>
      <c r="I290" s="75"/>
    </row>
    <row r="291" spans="1:9" ht="15" customHeight="1">
      <c r="A291" s="55"/>
      <c r="B291" s="110" t="s">
        <v>196</v>
      </c>
      <c r="C291" s="58"/>
      <c r="D291" s="54">
        <f t="shared" si="23"/>
        <v>27677</v>
      </c>
      <c r="E291" s="54"/>
      <c r="F291" s="54"/>
      <c r="G291" s="54"/>
      <c r="H291" s="52">
        <f>'4.pielikums'!B404</f>
        <v>27677</v>
      </c>
      <c r="I291" s="75"/>
    </row>
    <row r="292" spans="1:9" ht="15" customHeight="1">
      <c r="A292" s="55"/>
      <c r="B292" s="110" t="s">
        <v>192</v>
      </c>
      <c r="C292" s="58"/>
      <c r="D292" s="54">
        <f t="shared" si="23"/>
        <v>26799</v>
      </c>
      <c r="E292" s="54"/>
      <c r="F292" s="54"/>
      <c r="G292" s="54"/>
      <c r="H292" s="52">
        <f>'4.pielikums'!B405</f>
        <v>26799</v>
      </c>
      <c r="I292" s="75"/>
    </row>
    <row r="293" spans="1:9" ht="15" customHeight="1">
      <c r="A293" s="55"/>
      <c r="B293" s="110" t="s">
        <v>212</v>
      </c>
      <c r="C293" s="58"/>
      <c r="D293" s="54">
        <f t="shared" si="23"/>
        <v>24564</v>
      </c>
      <c r="E293" s="54"/>
      <c r="F293" s="54"/>
      <c r="G293" s="54"/>
      <c r="H293" s="52">
        <f>'4.pielikums'!B407</f>
        <v>24564</v>
      </c>
      <c r="I293" s="75"/>
    </row>
    <row r="294" spans="1:9" ht="15" customHeight="1">
      <c r="A294" s="55"/>
      <c r="B294" s="110" t="s">
        <v>194</v>
      </c>
      <c r="C294" s="58"/>
      <c r="D294" s="54">
        <f>H294-E294-G294-F294-C294</f>
        <v>20840</v>
      </c>
      <c r="E294" s="54"/>
      <c r="F294" s="54"/>
      <c r="G294" s="54"/>
      <c r="H294" s="52">
        <f>'4.pielikums'!B409</f>
        <v>20840</v>
      </c>
      <c r="I294" s="75"/>
    </row>
    <row r="295" spans="1:9" ht="15" customHeight="1">
      <c r="A295" s="55"/>
      <c r="B295" s="111" t="s">
        <v>202</v>
      </c>
      <c r="C295" s="58"/>
      <c r="D295" s="54">
        <f t="shared" si="23"/>
        <v>102284</v>
      </c>
      <c r="E295" s="54"/>
      <c r="F295" s="54"/>
      <c r="G295" s="54"/>
      <c r="H295" s="52">
        <f>'4.pielikums'!B411</f>
        <v>102284</v>
      </c>
      <c r="I295" s="75"/>
    </row>
    <row r="296" spans="1:9" ht="15" customHeight="1">
      <c r="A296" s="55"/>
      <c r="B296" s="110" t="s">
        <v>734</v>
      </c>
      <c r="C296" s="58"/>
      <c r="D296" s="54">
        <f t="shared" si="23"/>
        <v>33875</v>
      </c>
      <c r="E296" s="54">
        <v>200</v>
      </c>
      <c r="F296" s="54"/>
      <c r="G296" s="54"/>
      <c r="H296" s="52">
        <f>'4.pielikums'!B413</f>
        <v>34075</v>
      </c>
      <c r="I296" s="75"/>
    </row>
    <row r="297" spans="1:9" ht="15" customHeight="1">
      <c r="A297" s="55"/>
      <c r="B297" s="110" t="s">
        <v>160</v>
      </c>
      <c r="C297" s="58"/>
      <c r="D297" s="54">
        <f t="shared" si="23"/>
        <v>49375</v>
      </c>
      <c r="E297" s="92">
        <v>900</v>
      </c>
      <c r="F297" s="54"/>
      <c r="G297" s="54"/>
      <c r="H297" s="52">
        <f>'4.pielikums'!B415</f>
        <v>50275</v>
      </c>
      <c r="I297" s="75"/>
    </row>
    <row r="298" spans="1:9" ht="15" customHeight="1">
      <c r="A298" s="55"/>
      <c r="B298" s="112" t="s">
        <v>214</v>
      </c>
      <c r="C298" s="58"/>
      <c r="D298" s="54">
        <f t="shared" si="23"/>
        <v>34852</v>
      </c>
      <c r="E298" s="54"/>
      <c r="F298" s="54"/>
      <c r="G298" s="54"/>
      <c r="H298" s="52">
        <f>'4.pielikums'!B417</f>
        <v>34852</v>
      </c>
      <c r="I298" s="75"/>
    </row>
    <row r="299" spans="1:9" ht="15" customHeight="1">
      <c r="A299" s="55"/>
      <c r="B299" s="110" t="s">
        <v>208</v>
      </c>
      <c r="C299" s="58"/>
      <c r="D299" s="54">
        <f t="shared" si="23"/>
        <v>23818</v>
      </c>
      <c r="E299" s="54"/>
      <c r="F299" s="54"/>
      <c r="G299" s="54"/>
      <c r="H299" s="52">
        <f>'4.pielikums'!B419</f>
        <v>23818</v>
      </c>
      <c r="I299" s="75"/>
    </row>
    <row r="300" spans="1:9" ht="15" customHeight="1">
      <c r="A300" s="55"/>
      <c r="B300" s="110" t="s">
        <v>210</v>
      </c>
      <c r="C300" s="58"/>
      <c r="D300" s="54">
        <f t="shared" si="23"/>
        <v>32226.98</v>
      </c>
      <c r="E300" s="54">
        <v>300</v>
      </c>
      <c r="F300" s="54"/>
      <c r="G300" s="54"/>
      <c r="H300" s="52">
        <f>'4.pielikums'!B421</f>
        <v>32526.98</v>
      </c>
      <c r="I300" s="75"/>
    </row>
    <row r="301" spans="1:9" ht="15" customHeight="1">
      <c r="A301" s="55"/>
      <c r="B301" s="110" t="s">
        <v>201</v>
      </c>
      <c r="C301" s="58"/>
      <c r="D301" s="54">
        <f t="shared" si="23"/>
        <v>31847</v>
      </c>
      <c r="E301" s="54"/>
      <c r="F301" s="54"/>
      <c r="G301" s="54"/>
      <c r="H301" s="52">
        <f>'4.pielikums'!B423</f>
        <v>31847</v>
      </c>
      <c r="I301" s="75"/>
    </row>
    <row r="302" spans="1:9" ht="15" customHeight="1">
      <c r="A302" s="55"/>
      <c r="B302" s="72" t="s">
        <v>52</v>
      </c>
      <c r="C302" s="58"/>
      <c r="D302" s="54">
        <f t="shared" si="23"/>
        <v>6500</v>
      </c>
      <c r="E302" s="54"/>
      <c r="F302" s="54"/>
      <c r="G302" s="54"/>
      <c r="H302" s="52">
        <f>'4.pielikums'!B425</f>
        <v>6500</v>
      </c>
      <c r="I302" s="75"/>
    </row>
    <row r="303" spans="1:9" ht="30" customHeight="1">
      <c r="A303" s="55"/>
      <c r="B303" s="71" t="s">
        <v>81</v>
      </c>
      <c r="C303" s="58"/>
      <c r="D303" s="54">
        <f>H303-E303-G303-F303-C303</f>
        <v>163180</v>
      </c>
      <c r="E303" s="70"/>
      <c r="F303" s="54"/>
      <c r="G303" s="54"/>
      <c r="H303" s="52">
        <f>'4.pielikums'!B427</f>
        <v>163180</v>
      </c>
      <c r="I303" s="75"/>
    </row>
    <row r="304" spans="1:9" ht="30" customHeight="1">
      <c r="A304" s="55"/>
      <c r="B304" s="71" t="s">
        <v>64</v>
      </c>
      <c r="C304" s="58">
        <v>3561</v>
      </c>
      <c r="D304" s="54">
        <f t="shared" si="23"/>
        <v>0</v>
      </c>
      <c r="E304" s="54"/>
      <c r="F304" s="54"/>
      <c r="G304" s="54"/>
      <c r="H304" s="52">
        <f>'4.pielikums'!B429</f>
        <v>3561</v>
      </c>
      <c r="I304" s="75"/>
    </row>
    <row r="305" spans="1:9" ht="30" customHeight="1">
      <c r="A305" s="60"/>
      <c r="B305" s="71" t="s">
        <v>227</v>
      </c>
      <c r="C305" s="58">
        <v>26568</v>
      </c>
      <c r="D305" s="54">
        <f t="shared" si="23"/>
        <v>0</v>
      </c>
      <c r="E305" s="54"/>
      <c r="F305" s="54"/>
      <c r="G305" s="54"/>
      <c r="H305" s="52">
        <f>'4.pielikums'!B431</f>
        <v>26568</v>
      </c>
      <c r="I305" s="75"/>
    </row>
    <row r="306" spans="1:9" ht="30" customHeight="1">
      <c r="A306" s="60"/>
      <c r="B306" s="103" t="s">
        <v>164</v>
      </c>
      <c r="C306" s="58">
        <v>38588</v>
      </c>
      <c r="D306" s="54">
        <f t="shared" si="23"/>
        <v>0</v>
      </c>
      <c r="E306" s="54"/>
      <c r="F306" s="54">
        <v>20000</v>
      </c>
      <c r="G306" s="54"/>
      <c r="H306" s="52">
        <f>'4.pielikums'!B432</f>
        <v>58588</v>
      </c>
      <c r="I306" s="75"/>
    </row>
    <row r="307" spans="1:9" ht="45" customHeight="1">
      <c r="A307" s="60"/>
      <c r="B307" s="73" t="s">
        <v>771</v>
      </c>
      <c r="C307" s="58">
        <v>19846</v>
      </c>
      <c r="D307" s="54">
        <f t="shared" si="23"/>
        <v>0</v>
      </c>
      <c r="E307" s="54"/>
      <c r="F307" s="54">
        <v>6386</v>
      </c>
      <c r="G307" s="54"/>
      <c r="H307" s="52">
        <f>'4.pielikums'!B433</f>
        <v>26232</v>
      </c>
      <c r="I307" s="75"/>
    </row>
    <row r="308" spans="1:9" ht="45" customHeight="1">
      <c r="A308" s="60"/>
      <c r="B308" s="73" t="s">
        <v>259</v>
      </c>
      <c r="C308" s="58">
        <v>901</v>
      </c>
      <c r="D308" s="54">
        <f t="shared" si="23"/>
        <v>0</v>
      </c>
      <c r="E308" s="54"/>
      <c r="F308" s="54">
        <v>8000</v>
      </c>
      <c r="G308" s="54"/>
      <c r="H308" s="52">
        <f>'4.pielikums'!B435</f>
        <v>8901</v>
      </c>
      <c r="I308" s="75"/>
    </row>
    <row r="309" spans="1:9" ht="63.75" customHeight="1">
      <c r="A309" s="60"/>
      <c r="B309" s="73" t="s">
        <v>768</v>
      </c>
      <c r="C309" s="58">
        <v>2555</v>
      </c>
      <c r="D309" s="54">
        <f t="shared" si="23"/>
        <v>0</v>
      </c>
      <c r="E309" s="54"/>
      <c r="F309" s="54">
        <v>1000</v>
      </c>
      <c r="G309" s="54"/>
      <c r="H309" s="52">
        <f>'4.pielikums'!B437</f>
        <v>3555</v>
      </c>
      <c r="I309" s="75"/>
    </row>
    <row r="310" spans="1:9" ht="20.25" customHeight="1">
      <c r="A310" s="60"/>
      <c r="B310" s="71" t="s">
        <v>252</v>
      </c>
      <c r="C310" s="58"/>
      <c r="D310" s="54">
        <f t="shared" si="23"/>
        <v>37317</v>
      </c>
      <c r="E310" s="54"/>
      <c r="F310" s="54"/>
      <c r="G310" s="54"/>
      <c r="H310" s="52">
        <f>'4.pielikums'!B439</f>
        <v>37317</v>
      </c>
      <c r="I310" s="75"/>
    </row>
    <row r="311" spans="1:9" ht="20.25" customHeight="1">
      <c r="A311" s="60"/>
      <c r="B311" s="71" t="s">
        <v>865</v>
      </c>
      <c r="C311" s="58"/>
      <c r="D311" s="54">
        <f>H311-E311-G311-F311-C311</f>
        <v>300</v>
      </c>
      <c r="E311" s="54"/>
      <c r="F311" s="54"/>
      <c r="G311" s="54"/>
      <c r="H311" s="52">
        <f>'4.pielikums'!B440</f>
        <v>300</v>
      </c>
      <c r="I311" s="75"/>
    </row>
    <row r="312" spans="1:9" ht="37.5" customHeight="1">
      <c r="A312" s="60"/>
      <c r="B312" s="71" t="s">
        <v>250</v>
      </c>
      <c r="C312" s="58"/>
      <c r="D312" s="54">
        <f t="shared" si="23"/>
        <v>96710</v>
      </c>
      <c r="E312" s="54"/>
      <c r="F312" s="54"/>
      <c r="G312" s="54"/>
      <c r="H312" s="52">
        <f>'4.pielikums'!B441</f>
        <v>96710</v>
      </c>
      <c r="I312" s="75"/>
    </row>
    <row r="313" spans="1:9" ht="24.75" customHeight="1">
      <c r="A313" s="60"/>
      <c r="B313" s="71" t="s">
        <v>851</v>
      </c>
      <c r="C313" s="58"/>
      <c r="D313" s="54">
        <f t="shared" si="23"/>
        <v>0</v>
      </c>
      <c r="E313" s="54"/>
      <c r="F313" s="54">
        <v>6492</v>
      </c>
      <c r="G313" s="54"/>
      <c r="H313" s="52">
        <f>'4.pielikums'!B503</f>
        <v>6492</v>
      </c>
      <c r="I313" s="75"/>
    </row>
    <row r="314" spans="1:9" ht="45" customHeight="1">
      <c r="A314" s="60"/>
      <c r="B314" s="71" t="s">
        <v>860</v>
      </c>
      <c r="C314" s="58"/>
      <c r="D314" s="54">
        <f t="shared" si="23"/>
        <v>0</v>
      </c>
      <c r="E314" s="54"/>
      <c r="F314" s="54">
        <v>3500</v>
      </c>
      <c r="G314" s="54"/>
      <c r="H314" s="52">
        <f>'4.pielikums'!B506</f>
        <v>3500</v>
      </c>
      <c r="I314" s="75"/>
    </row>
    <row r="315" spans="1:9" ht="37.5" customHeight="1">
      <c r="A315" s="60"/>
      <c r="B315" s="71" t="s">
        <v>858</v>
      </c>
      <c r="C315" s="58"/>
      <c r="D315" s="54">
        <f t="shared" si="23"/>
        <v>0</v>
      </c>
      <c r="E315" s="54"/>
      <c r="F315" s="92">
        <v>36004</v>
      </c>
      <c r="G315" s="92"/>
      <c r="H315" s="52">
        <f>'4.pielikums'!B507</f>
        <v>36004</v>
      </c>
      <c r="I315" s="75"/>
    </row>
    <row r="316" spans="1:9" ht="37.5" customHeight="1">
      <c r="A316" s="60"/>
      <c r="B316" s="229" t="s">
        <v>878</v>
      </c>
      <c r="C316" s="58"/>
      <c r="D316" s="54">
        <f t="shared" si="23"/>
        <v>0</v>
      </c>
      <c r="E316" s="54"/>
      <c r="F316" s="92">
        <v>8500</v>
      </c>
      <c r="G316" s="92"/>
      <c r="H316" s="52">
        <f>'4.pielikums'!B512</f>
        <v>8500</v>
      </c>
      <c r="I316" s="75"/>
    </row>
    <row r="317" spans="1:9" ht="37.5" customHeight="1">
      <c r="A317" s="60"/>
      <c r="B317" s="229" t="s">
        <v>873</v>
      </c>
      <c r="C317" s="58"/>
      <c r="D317" s="54">
        <f t="shared" si="23"/>
        <v>0</v>
      </c>
      <c r="E317" s="54"/>
      <c r="F317" s="92">
        <v>7057</v>
      </c>
      <c r="G317" s="92"/>
      <c r="H317" s="52">
        <f>'4.pielikums'!B510</f>
        <v>7057</v>
      </c>
      <c r="I317" s="75"/>
    </row>
    <row r="318" spans="1:9" ht="45.75" customHeight="1">
      <c r="A318" s="60"/>
      <c r="B318" s="229" t="s">
        <v>881</v>
      </c>
      <c r="C318" s="58"/>
      <c r="D318" s="54">
        <f t="shared" si="23"/>
        <v>513</v>
      </c>
      <c r="E318" s="54"/>
      <c r="F318" s="92">
        <v>1000</v>
      </c>
      <c r="G318" s="92"/>
      <c r="H318" s="52">
        <f>'4.pielikums'!B514</f>
        <v>1513</v>
      </c>
      <c r="I318" s="75"/>
    </row>
    <row r="319" spans="1:9" ht="32.25" customHeight="1">
      <c r="A319" s="60"/>
      <c r="B319" s="229" t="s">
        <v>888</v>
      </c>
      <c r="C319" s="58"/>
      <c r="D319" s="54">
        <f t="shared" si="23"/>
        <v>0</v>
      </c>
      <c r="E319" s="54"/>
      <c r="F319" s="92">
        <v>23808</v>
      </c>
      <c r="G319" s="92"/>
      <c r="H319" s="52">
        <f>'4.pielikums'!B515</f>
        <v>23808</v>
      </c>
      <c r="I319" s="75"/>
    </row>
    <row r="320" spans="1:9" ht="32.25" customHeight="1">
      <c r="A320" s="60"/>
      <c r="B320" s="229" t="s">
        <v>891</v>
      </c>
      <c r="C320" s="58"/>
      <c r="D320" s="54">
        <f t="shared" si="23"/>
        <v>0</v>
      </c>
      <c r="E320" s="54"/>
      <c r="F320" s="92">
        <v>7792</v>
      </c>
      <c r="G320" s="92"/>
      <c r="H320" s="52">
        <f>'4.pielikums'!B516</f>
        <v>7792</v>
      </c>
      <c r="I320" s="75"/>
    </row>
    <row r="321" spans="1:9" ht="45.75" customHeight="1">
      <c r="A321" s="60"/>
      <c r="B321" s="229" t="s">
        <v>900</v>
      </c>
      <c r="C321" s="58"/>
      <c r="D321" s="54">
        <f t="shared" si="23"/>
        <v>0</v>
      </c>
      <c r="E321" s="54"/>
      <c r="F321" s="92">
        <v>945</v>
      </c>
      <c r="G321" s="92"/>
      <c r="H321" s="52">
        <f>'4.pielikums'!B517</f>
        <v>945</v>
      </c>
      <c r="I321" s="75"/>
    </row>
    <row r="322" spans="1:9" ht="42.75" customHeight="1">
      <c r="A322" s="60"/>
      <c r="B322" s="229" t="s">
        <v>902</v>
      </c>
      <c r="C322" s="58"/>
      <c r="D322" s="54">
        <f t="shared" si="23"/>
        <v>0</v>
      </c>
      <c r="E322" s="54"/>
      <c r="F322" s="92">
        <v>5018</v>
      </c>
      <c r="G322" s="92"/>
      <c r="H322" s="52">
        <f>'4.pielikums'!B522</f>
        <v>5018</v>
      </c>
      <c r="I322" s="75"/>
    </row>
    <row r="323" spans="1:9" ht="84" customHeight="1">
      <c r="A323" s="60"/>
      <c r="B323" s="229" t="s">
        <v>894</v>
      </c>
      <c r="C323" s="58"/>
      <c r="D323" s="54">
        <f t="shared" si="23"/>
        <v>150</v>
      </c>
      <c r="E323" s="54"/>
      <c r="F323" s="92">
        <v>69315</v>
      </c>
      <c r="G323" s="92"/>
      <c r="H323" s="52">
        <f>'4.pielikums'!B518</f>
        <v>69465</v>
      </c>
      <c r="I323" s="75"/>
    </row>
    <row r="324" spans="1:9" ht="15" customHeight="1">
      <c r="A324" s="15" t="s">
        <v>324</v>
      </c>
      <c r="B324" s="83" t="s">
        <v>325</v>
      </c>
      <c r="C324" s="63">
        <f t="shared" si="27" ref="C324:H324">C325+C326</f>
        <v>115160</v>
      </c>
      <c r="D324" s="63">
        <f t="shared" si="27"/>
        <v>3427792</v>
      </c>
      <c r="E324" s="128">
        <f t="shared" si="27"/>
        <v>1813351</v>
      </c>
      <c r="F324" s="63">
        <f t="shared" si="27"/>
        <v>948493</v>
      </c>
      <c r="G324" s="63">
        <f t="shared" si="27"/>
        <v>0</v>
      </c>
      <c r="H324" s="52">
        <f t="shared" si="27"/>
        <v>6304796</v>
      </c>
      <c r="I324" s="75"/>
    </row>
    <row r="325" spans="1:9" ht="15" customHeight="1">
      <c r="A325" s="15"/>
      <c r="B325" s="84" t="s">
        <v>54</v>
      </c>
      <c r="C325" s="64"/>
      <c r="D325" s="54">
        <f t="shared" si="23"/>
        <v>238725</v>
      </c>
      <c r="E325" s="92">
        <v>10000</v>
      </c>
      <c r="F325" s="54"/>
      <c r="G325" s="54"/>
      <c r="H325" s="52">
        <f>'4.pielikums'!B443</f>
        <v>248725</v>
      </c>
      <c r="I325" s="75"/>
    </row>
    <row r="326" spans="1:9" ht="30" customHeight="1">
      <c r="A326" s="67"/>
      <c r="B326" s="109" t="s">
        <v>326</v>
      </c>
      <c r="C326" s="63">
        <f t="shared" si="28" ref="C326:H326">SUM(C327:C344)</f>
        <v>115160</v>
      </c>
      <c r="D326" s="63">
        <f t="shared" si="28"/>
        <v>3189067</v>
      </c>
      <c r="E326" s="63">
        <f t="shared" si="28"/>
        <v>1803351</v>
      </c>
      <c r="F326" s="63">
        <f t="shared" si="28"/>
        <v>948493</v>
      </c>
      <c r="G326" s="63">
        <f t="shared" si="28"/>
        <v>0</v>
      </c>
      <c r="H326" s="52">
        <f t="shared" si="28"/>
        <v>6056071</v>
      </c>
      <c r="I326" s="75"/>
    </row>
    <row r="327" spans="1:9" ht="15" customHeight="1">
      <c r="A327" s="15"/>
      <c r="B327" s="84" t="s">
        <v>185</v>
      </c>
      <c r="C327" s="64"/>
      <c r="D327" s="54">
        <f t="shared" si="23"/>
        <v>620880</v>
      </c>
      <c r="E327" s="92">
        <v>2857</v>
      </c>
      <c r="F327" s="54"/>
      <c r="G327" s="54"/>
      <c r="H327" s="52">
        <f>'4.pielikums'!B445</f>
        <v>623737</v>
      </c>
      <c r="I327" s="75"/>
    </row>
    <row r="328" spans="1:9" ht="15" customHeight="1">
      <c r="A328" s="15"/>
      <c r="B328" s="84" t="s">
        <v>238</v>
      </c>
      <c r="C328" s="64"/>
      <c r="D328" s="54">
        <f t="shared" si="23"/>
        <v>883591</v>
      </c>
      <c r="E328" s="92"/>
      <c r="F328" s="92">
        <v>306409</v>
      </c>
      <c r="G328" s="54"/>
      <c r="H328" s="52">
        <f>'4.pielikums'!B447</f>
        <v>1190000</v>
      </c>
      <c r="I328" s="75"/>
    </row>
    <row r="329" spans="1:9" ht="15" customHeight="1">
      <c r="A329" s="15"/>
      <c r="B329" s="84" t="s">
        <v>181</v>
      </c>
      <c r="C329" s="64"/>
      <c r="D329" s="54">
        <f t="shared" si="29" ref="D329:D344">H329-E329-G329-F329-C329</f>
        <v>21500</v>
      </c>
      <c r="E329" s="92"/>
      <c r="F329" s="54"/>
      <c r="G329" s="54"/>
      <c r="H329" s="52">
        <f>'4.pielikums'!B448</f>
        <v>21500</v>
      </c>
      <c r="I329" s="75"/>
    </row>
    <row r="330" spans="1:9" ht="15" customHeight="1">
      <c r="A330" s="15"/>
      <c r="B330" s="84" t="s">
        <v>55</v>
      </c>
      <c r="C330" s="64"/>
      <c r="D330" s="54">
        <f t="shared" si="29"/>
        <v>11537</v>
      </c>
      <c r="E330" s="92">
        <f>10600</f>
        <v>10600</v>
      </c>
      <c r="F330" s="54"/>
      <c r="G330" s="54"/>
      <c r="H330" s="52">
        <f>'4.pielikums'!B450</f>
        <v>22137</v>
      </c>
      <c r="I330" s="75"/>
    </row>
    <row r="331" spans="1:9" ht="15" customHeight="1">
      <c r="A331" s="15"/>
      <c r="B331" s="84" t="s">
        <v>66</v>
      </c>
      <c r="C331" s="64"/>
      <c r="D331" s="54">
        <f t="shared" si="29"/>
        <v>268662</v>
      </c>
      <c r="E331" s="92">
        <v>1510</v>
      </c>
      <c r="F331" s="89"/>
      <c r="G331" s="54"/>
      <c r="H331" s="52">
        <f>'4.pielikums'!B452</f>
        <v>270172</v>
      </c>
      <c r="I331" s="75"/>
    </row>
    <row r="332" spans="1:9" ht="15" customHeight="1">
      <c r="A332" s="56"/>
      <c r="B332" s="84" t="s">
        <v>53</v>
      </c>
      <c r="C332" s="64">
        <v>59367</v>
      </c>
      <c r="D332" s="54">
        <f t="shared" si="29"/>
        <v>610840</v>
      </c>
      <c r="E332" s="92">
        <v>1176617</v>
      </c>
      <c r="F332" s="54"/>
      <c r="G332" s="54"/>
      <c r="H332" s="52">
        <f>'4.pielikums'!B454</f>
        <v>1846824</v>
      </c>
      <c r="I332" s="75"/>
    </row>
    <row r="333" spans="1:9" ht="15" customHeight="1">
      <c r="A333" s="56"/>
      <c r="B333" s="72" t="s">
        <v>128</v>
      </c>
      <c r="C333" s="59"/>
      <c r="D333" s="54">
        <f t="shared" si="29"/>
        <v>173795</v>
      </c>
      <c r="E333" s="92">
        <f>166314+31764</f>
        <v>198078</v>
      </c>
      <c r="F333" s="54"/>
      <c r="G333" s="54"/>
      <c r="H333" s="52">
        <f>'4.pielikums'!B455</f>
        <v>371873</v>
      </c>
      <c r="I333" s="75"/>
    </row>
    <row r="334" spans="1:9" ht="15" customHeight="1">
      <c r="A334" s="56"/>
      <c r="B334" s="113" t="s">
        <v>130</v>
      </c>
      <c r="C334" s="59"/>
      <c r="D334" s="54">
        <f t="shared" si="29"/>
        <v>61252</v>
      </c>
      <c r="E334" s="54">
        <v>157128</v>
      </c>
      <c r="F334" s="89"/>
      <c r="G334" s="54"/>
      <c r="H334" s="52">
        <f>'4.pielikums'!B457</f>
        <v>218380</v>
      </c>
      <c r="I334" s="75"/>
    </row>
    <row r="335" spans="1:9" ht="15" customHeight="1">
      <c r="A335" s="56"/>
      <c r="B335" s="115" t="s">
        <v>129</v>
      </c>
      <c r="C335" s="59"/>
      <c r="D335" s="54">
        <f t="shared" si="29"/>
        <v>102577</v>
      </c>
      <c r="E335" s="54">
        <v>216583</v>
      </c>
      <c r="F335" s="54"/>
      <c r="G335" s="54"/>
      <c r="H335" s="52">
        <f>'4.pielikums'!B459</f>
        <v>319160</v>
      </c>
      <c r="I335" s="75"/>
    </row>
    <row r="336" spans="1:9" ht="30" customHeight="1">
      <c r="A336" s="56"/>
      <c r="B336" s="71" t="s">
        <v>84</v>
      </c>
      <c r="C336" s="59"/>
      <c r="D336" s="54">
        <f t="shared" si="29"/>
        <v>234761</v>
      </c>
      <c r="E336" s="54">
        <v>22666</v>
      </c>
      <c r="F336" s="89"/>
      <c r="G336" s="54"/>
      <c r="H336" s="52">
        <f>'4.pielikums'!B461</f>
        <v>257427</v>
      </c>
      <c r="I336" s="75"/>
    </row>
    <row r="337" spans="1:9" ht="30" customHeight="1">
      <c r="A337" s="56"/>
      <c r="B337" s="73" t="s">
        <v>186</v>
      </c>
      <c r="C337" s="59"/>
      <c r="D337" s="54">
        <f t="shared" si="29"/>
        <v>77411</v>
      </c>
      <c r="E337" s="54"/>
      <c r="F337" s="89"/>
      <c r="G337" s="54"/>
      <c r="H337" s="52">
        <f>'4.pielikums'!B463</f>
        <v>77411</v>
      </c>
      <c r="I337" s="75"/>
    </row>
    <row r="338" spans="1:9" ht="30" customHeight="1">
      <c r="A338" s="56"/>
      <c r="B338" s="103" t="s">
        <v>187</v>
      </c>
      <c r="C338" s="59"/>
      <c r="D338" s="54">
        <f t="shared" si="29"/>
        <v>115679</v>
      </c>
      <c r="E338" s="54">
        <v>16345</v>
      </c>
      <c r="F338" s="89"/>
      <c r="G338" s="54"/>
      <c r="H338" s="52">
        <f>'4.pielikums'!B465</f>
        <v>132024</v>
      </c>
      <c r="I338" s="75"/>
    </row>
    <row r="339" spans="1:9" ht="30" customHeight="1">
      <c r="A339" s="56"/>
      <c r="B339" s="73" t="s">
        <v>171</v>
      </c>
      <c r="C339" s="59"/>
      <c r="D339" s="54">
        <f t="shared" si="29"/>
        <v>4271</v>
      </c>
      <c r="E339" s="54">
        <f>600</f>
        <v>600</v>
      </c>
      <c r="F339" s="54"/>
      <c r="G339" s="54"/>
      <c r="H339" s="52">
        <f>'4.pielikums'!B467</f>
        <v>4871</v>
      </c>
      <c r="I339" s="75"/>
    </row>
    <row r="340" spans="1:9" ht="30" customHeight="1">
      <c r="A340" s="56"/>
      <c r="B340" s="73" t="s">
        <v>687</v>
      </c>
      <c r="C340" s="59"/>
      <c r="D340" s="54">
        <f t="shared" si="29"/>
        <v>133</v>
      </c>
      <c r="E340" s="54">
        <v>367</v>
      </c>
      <c r="F340" s="54"/>
      <c r="G340" s="54"/>
      <c r="H340" s="52">
        <f>'4.pielikums'!B469</f>
        <v>500</v>
      </c>
      <c r="I340" s="75"/>
    </row>
    <row r="341" spans="1:9" ht="30" customHeight="1">
      <c r="A341" s="56"/>
      <c r="B341" s="71" t="s">
        <v>328</v>
      </c>
      <c r="C341" s="59"/>
      <c r="D341" s="54">
        <f t="shared" si="29"/>
        <v>0</v>
      </c>
      <c r="E341" s="54"/>
      <c r="F341" s="54">
        <v>632852</v>
      </c>
      <c r="G341" s="54"/>
      <c r="H341" s="52">
        <f>'4.pielikums'!B470</f>
        <v>632852</v>
      </c>
      <c r="I341" s="75"/>
    </row>
    <row r="342" spans="1:9" ht="30" customHeight="1">
      <c r="A342" s="56"/>
      <c r="B342" s="71" t="s">
        <v>62</v>
      </c>
      <c r="C342" s="59">
        <v>42383</v>
      </c>
      <c r="D342" s="54">
        <f t="shared" si="29"/>
        <v>0</v>
      </c>
      <c r="E342" s="54"/>
      <c r="F342" s="54">
        <v>0</v>
      </c>
      <c r="G342" s="54"/>
      <c r="H342" s="52">
        <f>'4.pielikums'!B471</f>
        <v>42383</v>
      </c>
      <c r="I342" s="75"/>
    </row>
    <row r="343" spans="1:9" ht="30" customHeight="1">
      <c r="A343" s="56"/>
      <c r="B343" s="72" t="s">
        <v>61</v>
      </c>
      <c r="C343" s="59">
        <v>13410</v>
      </c>
      <c r="D343" s="54">
        <f t="shared" si="29"/>
        <v>458</v>
      </c>
      <c r="E343" s="54"/>
      <c r="F343" s="54">
        <v>9232</v>
      </c>
      <c r="G343" s="54"/>
      <c r="H343" s="52">
        <f>'4.pielikums'!B472</f>
        <v>23100</v>
      </c>
      <c r="I343" s="75"/>
    </row>
    <row r="344" spans="1:9" ht="30" customHeight="1">
      <c r="A344" s="56"/>
      <c r="B344" s="105" t="s">
        <v>327</v>
      </c>
      <c r="C344" s="59"/>
      <c r="D344" s="54">
        <f t="shared" si="29"/>
        <v>1720</v>
      </c>
      <c r="E344" s="54"/>
      <c r="F344" s="54"/>
      <c r="G344" s="54"/>
      <c r="H344" s="52">
        <f>'4.pielikums'!B473+'4.pielikums'!B475+'4.pielikums'!B476+'4.pielikums'!B477</f>
        <v>1720</v>
      </c>
      <c r="I344" s="75"/>
    </row>
    <row r="345" spans="2:8" ht="15.75">
      <c r="B345" s="226"/>
      <c r="C345" s="19"/>
      <c r="H345" s="241"/>
    </row>
    <row r="346" spans="2:8" ht="18.75">
      <c r="B346" s="77" t="s">
        <v>329</v>
      </c>
      <c r="C346" s="19"/>
      <c r="H346"/>
    </row>
    <row r="347" spans="2:8" ht="15.75">
      <c r="B347" s="57"/>
      <c r="C347" s="19"/>
      <c r="H347"/>
    </row>
    <row r="348" spans="8:8" ht="15.75">
      <c r="H348"/>
    </row>
    <row r="349" spans="8:8" ht="15.75">
      <c r="H349"/>
    </row>
    <row r="350" spans="8:8" ht="15.75">
      <c r="H350"/>
    </row>
    <row r="351" spans="8:8" ht="15.75">
      <c r="H351"/>
    </row>
    <row r="352" spans="8:8" ht="15.75">
      <c r="H352"/>
    </row>
    <row r="353" spans="8:8" ht="15.75">
      <c r="H353"/>
    </row>
    <row r="354" spans="8:8" ht="15.75">
      <c r="H354"/>
    </row>
    <row r="355" spans="8:8" ht="15.75">
      <c r="H355"/>
    </row>
    <row r="356" spans="8:8" ht="15.75">
      <c r="H356"/>
    </row>
    <row r="357" spans="8:8" ht="15.75">
      <c r="H357"/>
    </row>
    <row r="358" spans="8:8" ht="15.75">
      <c r="H358"/>
    </row>
    <row r="359" spans="8:8" ht="15.75">
      <c r="H359"/>
    </row>
    <row r="360" spans="8:8" ht="15.75">
      <c r="H360"/>
    </row>
    <row r="361" spans="8:8" ht="15.75">
      <c r="H361"/>
    </row>
    <row r="362" spans="8:8" ht="15.75">
      <c r="H362"/>
    </row>
    <row r="363" spans="8:8" ht="15.75">
      <c r="H363"/>
    </row>
    <row r="364" spans="8:8" ht="15.75">
      <c r="H364"/>
    </row>
    <row r="365" spans="8:8" ht="15.75">
      <c r="H365"/>
    </row>
    <row r="366" spans="8:8" ht="15.75">
      <c r="H366"/>
    </row>
    <row r="367" spans="8:8" ht="15.75">
      <c r="H367"/>
    </row>
    <row r="368" spans="8:8" ht="15.75">
      <c r="H368"/>
    </row>
    <row r="369" spans="8:8" ht="15.75">
      <c r="H369"/>
    </row>
    <row r="370" spans="8:8" ht="15.75">
      <c r="H370"/>
    </row>
    <row r="371" spans="8:8" ht="15.75">
      <c r="H371"/>
    </row>
    <row r="372" spans="8:8" ht="15.75">
      <c r="H372"/>
    </row>
    <row r="373" spans="8:8" ht="15.75">
      <c r="H373"/>
    </row>
    <row r="374" spans="8:8" ht="15.75">
      <c r="H374"/>
    </row>
    <row r="375" spans="8:8" ht="15.75">
      <c r="H375"/>
    </row>
    <row r="376" spans="8:8" ht="15.75">
      <c r="H376"/>
    </row>
    <row r="377" spans="8:8" ht="15.75">
      <c r="H377"/>
    </row>
    <row r="378" spans="8:8" ht="15.75">
      <c r="H378"/>
    </row>
    <row r="379" spans="8:8" ht="15.75">
      <c r="H379"/>
    </row>
    <row r="380" spans="8:8" ht="15.75">
      <c r="H380"/>
    </row>
    <row r="381" spans="8:8" ht="15.75">
      <c r="H381"/>
    </row>
    <row r="382" spans="8:8" ht="15.75">
      <c r="H382"/>
    </row>
    <row r="383" spans="8:8" ht="15.75">
      <c r="H383"/>
    </row>
    <row r="384" spans="8:8" ht="15.75">
      <c r="H384"/>
    </row>
    <row r="385" spans="8:8" ht="15.75">
      <c r="H385"/>
    </row>
    <row r="386" spans="8:8" ht="15.75">
      <c r="H386"/>
    </row>
    <row r="387" spans="8:8" ht="15.75">
      <c r="H387"/>
    </row>
    <row r="388" spans="8:8" ht="15.75">
      <c r="H388"/>
    </row>
  </sheetData>
  <mergeCells count="3">
    <mergeCell ref="H15:H16"/>
    <mergeCell ref="B15:B16"/>
    <mergeCell ref="A15:A16"/>
  </mergeCells>
  <pageMargins left="0.25" right="0.25" top="0.75" bottom="0.75" header="0.3" footer="0.3"/>
  <pageSetup orientation="portrait" paperSize="9" scale="55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540"/>
  <sheetViews>
    <sheetView zoomScale="96" zoomScaleNormal="96" workbookViewId="0" topLeftCell="A128">
      <selection pane="topLeft" activeCell="F528" sqref="F528"/>
    </sheetView>
  </sheetViews>
  <sheetFormatPr defaultColWidth="9.14428571428571" defaultRowHeight="15"/>
  <cols>
    <col min="1" max="1" width="40.5714285714286" style="57" customWidth="1"/>
    <col min="2" max="2" width="13.4285714285714" style="120" customWidth="1"/>
    <col min="3" max="3" width="19.5714285714286" style="57" customWidth="1"/>
    <col min="4" max="4" width="0.142857142857143" style="57" customWidth="1"/>
    <col min="5" max="5" width="12.2857142857143" style="57" hidden="1" customWidth="1"/>
    <col min="6" max="6" width="14.2857142857143" style="57" customWidth="1"/>
    <col min="7" max="7" width="0.142857142857143" style="120" customWidth="1"/>
    <col min="8" max="8" width="10.7142857142857" style="120" hidden="1" customWidth="1"/>
    <col min="9" max="9" width="12" style="120" hidden="1" customWidth="1"/>
    <col min="10" max="10" width="9.57142857142857" style="120" hidden="1" customWidth="1"/>
    <col min="11" max="11" width="8.57142857142857" style="120" hidden="1" customWidth="1"/>
    <col min="12" max="12" width="12.8571428571429" style="120" customWidth="1"/>
    <col min="13" max="13" width="13.5714285714286" style="120" customWidth="1"/>
    <col min="14" max="14" width="14.2857142857143" style="120" customWidth="1"/>
    <col min="15" max="15" width="14" style="120" customWidth="1"/>
    <col min="16" max="16" width="12.1428571428571" style="120" customWidth="1"/>
    <col min="17" max="17" width="11.2857142857143" style="57" bestFit="1" customWidth="1"/>
    <col min="18" max="18" width="10.1428571428571" style="57" bestFit="1" customWidth="1"/>
    <col min="19" max="16384" width="9.14285714285714" style="57"/>
  </cols>
  <sheetData>
    <row r="1" spans="1:16" ht="15" customHeight="1">
      <c r="A1" s="289"/>
      <c r="B1" s="290"/>
      <c r="C1" s="290"/>
      <c r="D1" s="290"/>
      <c r="E1" s="290"/>
      <c r="F1" s="120"/>
      <c r="G1" s="147"/>
      <c r="H1" s="147"/>
      <c r="I1" s="147"/>
      <c r="J1" s="147"/>
      <c r="K1" s="147"/>
      <c r="L1" s="147"/>
      <c r="M1" s="147"/>
      <c r="N1" s="147"/>
      <c r="O1" s="147"/>
      <c r="P1" s="152" t="s">
        <v>174</v>
      </c>
    </row>
    <row r="2" spans="1:16" ht="15" customHeight="1">
      <c r="A2" s="289"/>
      <c r="B2" s="290"/>
      <c r="C2" s="290"/>
      <c r="D2" s="290"/>
      <c r="E2" s="290"/>
      <c r="F2" s="120"/>
      <c r="G2" s="147"/>
      <c r="H2" s="147"/>
      <c r="I2" s="147"/>
      <c r="J2" s="147"/>
      <c r="K2" s="147"/>
      <c r="L2" s="147"/>
      <c r="M2" s="147"/>
      <c r="N2" s="147"/>
      <c r="O2" s="147"/>
      <c r="P2" s="147" t="s">
        <v>829</v>
      </c>
    </row>
    <row r="3" spans="1:16" ht="15" customHeight="1">
      <c r="A3" s="289"/>
      <c r="B3" s="290"/>
      <c r="C3" s="290"/>
      <c r="D3" s="290"/>
      <c r="E3" s="290"/>
      <c r="F3" s="120"/>
      <c r="G3" s="147"/>
      <c r="H3" s="147"/>
      <c r="I3" s="147"/>
      <c r="J3" s="147"/>
      <c r="K3" s="147"/>
      <c r="L3" s="147"/>
      <c r="M3" s="147"/>
      <c r="N3" s="147"/>
      <c r="O3" s="147"/>
      <c r="P3" s="147" t="s">
        <v>910</v>
      </c>
    </row>
    <row r="4" spans="1:16" ht="15" customHeight="1">
      <c r="A4" s="289"/>
      <c r="B4" s="290"/>
      <c r="C4" s="290"/>
      <c r="D4" s="290"/>
      <c r="E4" s="290"/>
      <c r="F4" s="120"/>
      <c r="G4" s="147"/>
      <c r="H4" s="147"/>
      <c r="I4" s="147"/>
      <c r="J4" s="147"/>
      <c r="K4" s="147"/>
      <c r="L4" s="147"/>
      <c r="M4" s="147"/>
      <c r="N4" s="147"/>
      <c r="O4" s="147"/>
      <c r="P4" s="147" t="s">
        <v>835</v>
      </c>
    </row>
    <row r="5" spans="1:16" ht="15" customHeight="1">
      <c r="A5" s="289"/>
      <c r="B5" s="290"/>
      <c r="C5" s="290"/>
      <c r="D5" s="290"/>
      <c r="E5" s="290"/>
      <c r="F5" s="120"/>
      <c r="G5" s="147"/>
      <c r="H5" s="147"/>
      <c r="I5" s="147"/>
      <c r="J5" s="147"/>
      <c r="K5" s="147"/>
      <c r="L5" s="147"/>
      <c r="M5" s="153"/>
      <c r="N5" s="147"/>
      <c r="O5" s="147"/>
      <c r="P5" s="147" t="s">
        <v>761</v>
      </c>
    </row>
    <row r="6" spans="1:16" ht="15" customHeight="1">
      <c r="A6" s="289"/>
      <c r="B6" s="290"/>
      <c r="C6" s="290"/>
      <c r="D6" s="290"/>
      <c r="E6" s="290"/>
      <c r="F6" s="120"/>
      <c r="G6" s="147"/>
      <c r="H6" s="147"/>
      <c r="I6" s="147"/>
      <c r="J6" s="147"/>
      <c r="K6" s="147"/>
      <c r="L6" s="147"/>
      <c r="M6" s="153"/>
      <c r="N6" s="147"/>
      <c r="O6" s="147"/>
      <c r="P6" s="147"/>
    </row>
    <row r="7" spans="1:16" ht="15" customHeight="1">
      <c r="A7" s="289"/>
      <c r="B7" s="290"/>
      <c r="C7" s="290"/>
      <c r="D7" s="290"/>
      <c r="E7" s="290"/>
      <c r="F7" s="120"/>
      <c r="G7" s="147"/>
      <c r="H7" s="147"/>
      <c r="I7" s="147"/>
      <c r="J7" s="147"/>
      <c r="K7" s="147"/>
      <c r="L7" s="147"/>
      <c r="M7" s="153"/>
      <c r="N7" s="147"/>
      <c r="O7" s="147"/>
      <c r="P7" s="152" t="s">
        <v>174</v>
      </c>
    </row>
    <row r="8" spans="1:16" ht="15" customHeight="1">
      <c r="A8" s="289"/>
      <c r="B8" s="290"/>
      <c r="C8" s="290"/>
      <c r="D8" s="290"/>
      <c r="E8" s="290"/>
      <c r="F8" s="120"/>
      <c r="G8" s="147"/>
      <c r="H8" s="147"/>
      <c r="I8" s="147"/>
      <c r="J8" s="147"/>
      <c r="K8" s="147"/>
      <c r="L8" s="147"/>
      <c r="M8" s="153"/>
      <c r="N8" s="147"/>
      <c r="O8" s="147"/>
      <c r="P8" s="147" t="s">
        <v>829</v>
      </c>
    </row>
    <row r="9" spans="1:16" ht="15" customHeight="1">
      <c r="A9" s="289"/>
      <c r="B9" s="290"/>
      <c r="C9" s="290"/>
      <c r="D9" s="290"/>
      <c r="E9" s="290"/>
      <c r="F9" s="120"/>
      <c r="G9" s="147"/>
      <c r="H9" s="147"/>
      <c r="I9" s="147"/>
      <c r="J9" s="147"/>
      <c r="K9" s="147"/>
      <c r="L9" s="147"/>
      <c r="M9" s="153"/>
      <c r="N9" s="147"/>
      <c r="O9" s="147"/>
      <c r="P9" s="147" t="s">
        <v>830</v>
      </c>
    </row>
    <row r="10" spans="1:16" ht="15" customHeight="1">
      <c r="A10" s="289"/>
      <c r="B10" s="290"/>
      <c r="C10" s="290"/>
      <c r="D10" s="290"/>
      <c r="E10" s="290"/>
      <c r="F10" s="120"/>
      <c r="G10" s="147"/>
      <c r="H10" s="147"/>
      <c r="I10" s="147"/>
      <c r="J10" s="147"/>
      <c r="K10" s="147"/>
      <c r="L10" s="147"/>
      <c r="M10" s="153"/>
      <c r="N10" s="147"/>
      <c r="O10" s="147"/>
      <c r="P10" s="147" t="s">
        <v>761</v>
      </c>
    </row>
    <row r="11" spans="1:16" ht="15" customHeight="1">
      <c r="A11" s="289"/>
      <c r="B11" s="290"/>
      <c r="C11" s="290"/>
      <c r="D11" s="290"/>
      <c r="E11" s="290"/>
      <c r="F11" s="120"/>
      <c r="G11" s="147"/>
      <c r="H11" s="147"/>
      <c r="I11" s="147"/>
      <c r="J11" s="147"/>
      <c r="K11" s="147"/>
      <c r="L11" s="147"/>
      <c r="M11" s="153"/>
      <c r="N11" s="147"/>
      <c r="O11" s="147"/>
      <c r="P11" s="147"/>
    </row>
    <row r="12" spans="1:16" ht="15" customHeight="1">
      <c r="A12" s="289"/>
      <c r="B12" s="290"/>
      <c r="C12" s="290"/>
      <c r="D12" s="290"/>
      <c r="E12" s="290"/>
      <c r="F12" s="120"/>
      <c r="G12" s="153"/>
      <c r="H12" s="153"/>
      <c r="I12" s="153"/>
      <c r="J12" s="153"/>
      <c r="K12" s="153"/>
      <c r="L12" s="153"/>
      <c r="M12" s="153"/>
      <c r="N12" s="153"/>
      <c r="O12" s="153"/>
      <c r="P12" s="153"/>
    </row>
    <row r="13" spans="1:16" ht="15" customHeight="1">
      <c r="A13" s="1" t="s">
        <v>762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ht="15" customHeight="1"/>
    <row r="15" spans="1:16" s="76" customFormat="1" ht="15" customHeight="1">
      <c r="A15" s="288" t="s">
        <v>0</v>
      </c>
      <c r="B15" s="11" t="s">
        <v>763</v>
      </c>
      <c r="C15" s="287" t="s">
        <v>92</v>
      </c>
      <c r="D15" s="287"/>
      <c r="E15" s="287"/>
      <c r="F15" s="287"/>
      <c r="G15" s="287"/>
      <c r="H15" s="287"/>
      <c r="I15" s="287"/>
      <c r="J15" s="287"/>
      <c r="K15" s="287"/>
      <c r="L15" s="287"/>
      <c r="M15" s="287"/>
      <c r="N15" s="287"/>
      <c r="O15" s="287"/>
      <c r="P15" s="287"/>
    </row>
    <row r="16" spans="1:16" s="76" customFormat="1" ht="15" customHeight="1">
      <c r="A16" s="288"/>
      <c r="B16" s="11"/>
      <c r="C16" s="79">
        <v>1000</v>
      </c>
      <c r="D16" s="79">
        <v>1100</v>
      </c>
      <c r="E16" s="79">
        <v>1200</v>
      </c>
      <c r="F16" s="79">
        <v>2000</v>
      </c>
      <c r="G16" s="154">
        <v>2100</v>
      </c>
      <c r="H16" s="154">
        <v>2200</v>
      </c>
      <c r="I16" s="154">
        <v>2300</v>
      </c>
      <c r="J16" s="154">
        <v>2400</v>
      </c>
      <c r="K16" s="154">
        <v>2500</v>
      </c>
      <c r="L16" s="154">
        <v>3000</v>
      </c>
      <c r="M16" s="154">
        <v>4000</v>
      </c>
      <c r="N16" s="154">
        <v>5000</v>
      </c>
      <c r="O16" s="155">
        <v>6000</v>
      </c>
      <c r="P16" s="155">
        <v>7000</v>
      </c>
    </row>
    <row r="17" spans="1:16" s="76" customFormat="1" ht="105" customHeight="1">
      <c r="A17" s="288"/>
      <c r="B17" s="11"/>
      <c r="C17" s="210" t="s">
        <v>87</v>
      </c>
      <c r="D17" s="210" t="s">
        <v>735</v>
      </c>
      <c r="E17" s="210" t="s">
        <v>736</v>
      </c>
      <c r="F17" s="210" t="s">
        <v>88</v>
      </c>
      <c r="G17" s="155" t="s">
        <v>242</v>
      </c>
      <c r="H17" s="155" t="s">
        <v>243</v>
      </c>
      <c r="I17" s="155" t="s">
        <v>244</v>
      </c>
      <c r="J17" s="155" t="s">
        <v>733</v>
      </c>
      <c r="K17" s="155"/>
      <c r="L17" s="155" t="s">
        <v>89</v>
      </c>
      <c r="M17" s="155" t="s">
        <v>90</v>
      </c>
      <c r="N17" s="155" t="s">
        <v>91</v>
      </c>
      <c r="O17" s="155" t="s">
        <v>85</v>
      </c>
      <c r="P17" s="155" t="s">
        <v>86</v>
      </c>
    </row>
    <row r="18" spans="1:16" ht="15" customHeight="1">
      <c r="A18" s="129" t="s">
        <v>1</v>
      </c>
      <c r="B18" s="130">
        <f>SUM(C18+F18,L18:P18)</f>
        <v>1522773</v>
      </c>
      <c r="C18" s="202">
        <f>D18+E18</f>
        <v>1287651</v>
      </c>
      <c r="D18" s="202">
        <v>1040812</v>
      </c>
      <c r="E18" s="202">
        <v>246839</v>
      </c>
      <c r="F18" s="202">
        <f>SUM(G18:K18)</f>
        <v>232372</v>
      </c>
      <c r="G18" s="133">
        <v>2480</v>
      </c>
      <c r="H18" s="133">
        <f>177541+23631-1750</f>
        <v>199422</v>
      </c>
      <c r="I18" s="133">
        <v>28470</v>
      </c>
      <c r="J18" s="133"/>
      <c r="K18" s="133">
        <v>2000</v>
      </c>
      <c r="L18" s="133"/>
      <c r="M18" s="133"/>
      <c r="N18" s="133">
        <v>1000</v>
      </c>
      <c r="O18" s="133"/>
      <c r="P18" s="133">
        <v>1750</v>
      </c>
    </row>
    <row r="19" spans="1:16" ht="15" customHeight="1">
      <c r="A19" s="129" t="s">
        <v>2</v>
      </c>
      <c r="B19" s="130">
        <f t="shared" si="0" ref="B19:B65">SUM(C19+F19,L19:P19)</f>
        <v>127701</v>
      </c>
      <c r="C19" s="202">
        <f t="shared" si="1" ref="C19:C25">D19+E19</f>
        <v>127701</v>
      </c>
      <c r="D19" s="202">
        <v>103555</v>
      </c>
      <c r="E19" s="202">
        <v>24146</v>
      </c>
      <c r="F19" s="202">
        <f>SUM(G19:K19)</f>
        <v>0</v>
      </c>
      <c r="G19" s="133"/>
      <c r="H19" s="133"/>
      <c r="I19" s="133"/>
      <c r="J19" s="133"/>
      <c r="K19" s="133"/>
      <c r="L19" s="133"/>
      <c r="M19" s="133"/>
      <c r="N19" s="133"/>
      <c r="O19" s="133"/>
      <c r="P19" s="133"/>
    </row>
    <row r="20" spans="1:16" ht="30" customHeight="1">
      <c r="A20" s="129" t="s">
        <v>180</v>
      </c>
      <c r="B20" s="130">
        <f t="shared" si="0"/>
        <v>255015</v>
      </c>
      <c r="C20" s="202">
        <f t="shared" si="1"/>
        <v>0</v>
      </c>
      <c r="D20" s="202"/>
      <c r="E20" s="202"/>
      <c r="F20" s="202">
        <f>SUM(G20:K20)</f>
        <v>0</v>
      </c>
      <c r="G20" s="133"/>
      <c r="H20" s="133"/>
      <c r="I20" s="133"/>
      <c r="J20" s="133"/>
      <c r="K20" s="133"/>
      <c r="L20" s="133"/>
      <c r="M20" s="133"/>
      <c r="N20" s="133"/>
      <c r="O20" s="133">
        <v>255015</v>
      </c>
      <c r="P20" s="133"/>
    </row>
    <row r="21" spans="1:16" ht="15" customHeight="1">
      <c r="A21" s="129" t="s">
        <v>211</v>
      </c>
      <c r="B21" s="130">
        <f t="shared" si="0"/>
        <v>30000</v>
      </c>
      <c r="C21" s="202">
        <f>D21+E21</f>
        <v>30000</v>
      </c>
      <c r="D21" s="202">
        <v>24274</v>
      </c>
      <c r="E21" s="202">
        <v>5726</v>
      </c>
      <c r="F21" s="202">
        <f>SUM(G21:K21)</f>
        <v>0</v>
      </c>
      <c r="G21" s="133"/>
      <c r="H21" s="133"/>
      <c r="I21" s="133"/>
      <c r="J21" s="133"/>
      <c r="K21" s="133"/>
      <c r="L21" s="133"/>
      <c r="M21" s="133"/>
      <c r="N21" s="133"/>
      <c r="O21" s="133"/>
      <c r="P21" s="133"/>
    </row>
    <row r="22" spans="1:16" ht="15" customHeight="1">
      <c r="A22" s="131" t="s">
        <v>813</v>
      </c>
      <c r="B22" s="130">
        <f>SUM(C22+F22,L22:P22)</f>
        <v>109495</v>
      </c>
      <c r="C22" s="202">
        <f>D22+E22</f>
        <v>105165</v>
      </c>
      <c r="D22" s="202">
        <v>85199</v>
      </c>
      <c r="E22" s="202">
        <v>19966</v>
      </c>
      <c r="F22" s="202">
        <f>G22+H22+I22</f>
        <v>4330</v>
      </c>
      <c r="G22" s="133"/>
      <c r="H22" s="133">
        <v>61</v>
      </c>
      <c r="I22" s="133">
        <f>4213+I23</f>
        <v>4269</v>
      </c>
      <c r="J22" s="133"/>
      <c r="K22" s="133"/>
      <c r="L22" s="133"/>
      <c r="M22" s="133"/>
      <c r="N22" s="133"/>
      <c r="O22" s="133"/>
      <c r="P22" s="133"/>
    </row>
    <row r="23" spans="1:16" ht="15" customHeight="1">
      <c r="A23" s="250" t="s">
        <v>833</v>
      </c>
      <c r="B23" s="230">
        <f>SUM(C23+F23,L23:P23)</f>
        <v>56</v>
      </c>
      <c r="C23" s="202"/>
      <c r="D23" s="202"/>
      <c r="E23" s="202"/>
      <c r="F23" s="202">
        <f>G23+H23+I23</f>
        <v>56</v>
      </c>
      <c r="G23" s="133"/>
      <c r="H23" s="133"/>
      <c r="I23" s="133">
        <v>56</v>
      </c>
      <c r="J23" s="133"/>
      <c r="K23" s="133"/>
      <c r="L23" s="133"/>
      <c r="M23" s="133"/>
      <c r="N23" s="133"/>
      <c r="O23" s="133"/>
      <c r="P23" s="133"/>
    </row>
    <row r="24" spans="1:16" ht="15" customHeight="1">
      <c r="A24" s="131" t="s">
        <v>907</v>
      </c>
      <c r="B24" s="130">
        <f>SUM(C24+F24,L24:P24)</f>
        <v>68960</v>
      </c>
      <c r="C24" s="202">
        <f t="shared" si="1"/>
        <v>63706</v>
      </c>
      <c r="D24" s="202">
        <f>33000+D25</f>
        <v>49012</v>
      </c>
      <c r="E24" s="202">
        <f>7785+E25</f>
        <v>14694</v>
      </c>
      <c r="F24" s="202">
        <f>SUM(G24:K24)</f>
        <v>3444</v>
      </c>
      <c r="G24" s="133">
        <f>20+G25</f>
        <v>24</v>
      </c>
      <c r="H24" s="133">
        <f>2345-75+H25</f>
        <v>2315</v>
      </c>
      <c r="I24" s="133">
        <f>3503-1735+I25</f>
        <v>1104</v>
      </c>
      <c r="J24" s="133"/>
      <c r="K24" s="133">
        <f>K25</f>
        <v>1</v>
      </c>
      <c r="L24" s="133"/>
      <c r="M24" s="133"/>
      <c r="N24" s="133">
        <v>1810</v>
      </c>
      <c r="O24" s="133"/>
      <c r="P24" s="133"/>
    </row>
    <row r="25" spans="1:16" ht="22.5" customHeight="1">
      <c r="A25" s="250" t="s">
        <v>833</v>
      </c>
      <c r="B25" s="130">
        <f t="shared" si="0"/>
        <v>22307</v>
      </c>
      <c r="C25" s="202">
        <f t="shared" si="1"/>
        <v>22921</v>
      </c>
      <c r="D25" s="202">
        <v>16012</v>
      </c>
      <c r="E25" s="202">
        <v>6909</v>
      </c>
      <c r="F25" s="202">
        <f>SUM(G25:K25)</f>
        <v>-614</v>
      </c>
      <c r="G25" s="133">
        <v>4</v>
      </c>
      <c r="H25" s="133">
        <v>45</v>
      </c>
      <c r="I25" s="133">
        <f>-50-614</f>
        <v>-664</v>
      </c>
      <c r="J25" s="133"/>
      <c r="K25" s="133">
        <v>1</v>
      </c>
      <c r="L25" s="133"/>
      <c r="M25" s="133"/>
      <c r="N25" s="133"/>
      <c r="O25" s="133"/>
      <c r="P25" s="133"/>
    </row>
    <row r="26" spans="1:16" ht="18" customHeight="1">
      <c r="A26" s="132" t="s">
        <v>3</v>
      </c>
      <c r="B26" s="130">
        <f>SUM(C26+F26,L26:P26)</f>
        <v>36481</v>
      </c>
      <c r="C26" s="133">
        <f t="shared" si="2" ref="C26:C37">D26+E26</f>
        <v>32723</v>
      </c>
      <c r="D26" s="202">
        <f>27606+D27</f>
        <v>18708</v>
      </c>
      <c r="E26" s="202">
        <f>6686+E27</f>
        <v>14015</v>
      </c>
      <c r="F26" s="202">
        <f t="shared" si="3" ref="F26:F80">SUM(G26:K26)</f>
        <v>3758</v>
      </c>
      <c r="G26" s="133"/>
      <c r="H26" s="133">
        <f>1651+H27</f>
        <v>2021</v>
      </c>
      <c r="I26" s="133">
        <f>2006+I27</f>
        <v>1636</v>
      </c>
      <c r="J26" s="133"/>
      <c r="K26" s="133">
        <v>101</v>
      </c>
      <c r="L26" s="133"/>
      <c r="M26" s="133"/>
      <c r="N26" s="133"/>
      <c r="O26" s="133"/>
      <c r="P26" s="133"/>
    </row>
    <row r="27" spans="1:16" ht="18.75" customHeight="1">
      <c r="A27" s="251" t="s">
        <v>833</v>
      </c>
      <c r="B27" s="130">
        <f>SUM(C27+F27,L27:P27)</f>
        <v>-1569</v>
      </c>
      <c r="C27" s="133">
        <f t="shared" si="2"/>
        <v>-1569</v>
      </c>
      <c r="D27" s="202">
        <v>-8898</v>
      </c>
      <c r="E27" s="202">
        <v>7329</v>
      </c>
      <c r="F27" s="202">
        <f t="shared" si="3"/>
        <v>0</v>
      </c>
      <c r="G27" s="133"/>
      <c r="H27" s="133">
        <f>250+120</f>
        <v>370</v>
      </c>
      <c r="I27" s="133">
        <f>-250-120</f>
        <v>-370</v>
      </c>
      <c r="J27" s="133"/>
      <c r="K27" s="133"/>
      <c r="L27" s="133"/>
      <c r="M27" s="133"/>
      <c r="N27" s="133"/>
      <c r="O27" s="133"/>
      <c r="P27" s="133"/>
    </row>
    <row r="28" spans="1:16" ht="18.75" customHeight="1">
      <c r="A28" s="132" t="s">
        <v>903</v>
      </c>
      <c r="B28" s="130">
        <f t="shared" si="0"/>
        <v>80018</v>
      </c>
      <c r="C28" s="202">
        <f t="shared" si="2"/>
        <v>64065</v>
      </c>
      <c r="D28" s="202">
        <f>35125+D29</f>
        <v>50223</v>
      </c>
      <c r="E28" s="202">
        <f>8315+E29</f>
        <v>13842</v>
      </c>
      <c r="F28" s="202">
        <f t="shared" si="3"/>
        <v>15953</v>
      </c>
      <c r="G28" s="133"/>
      <c r="H28" s="133">
        <f>7695+H29</f>
        <v>7395</v>
      </c>
      <c r="I28" s="133">
        <f>8983+I29</f>
        <v>8458</v>
      </c>
      <c r="J28" s="133"/>
      <c r="K28" s="133">
        <f>K29</f>
        <v>100</v>
      </c>
      <c r="L28" s="133"/>
      <c r="M28" s="133"/>
      <c r="N28" s="133"/>
      <c r="O28" s="133"/>
      <c r="P28" s="133"/>
    </row>
    <row r="29" spans="1:16" ht="15" customHeight="1">
      <c r="A29" s="251" t="s">
        <v>833</v>
      </c>
      <c r="B29" s="130">
        <f t="shared" si="0"/>
        <v>19900</v>
      </c>
      <c r="C29" s="202">
        <f t="shared" si="2"/>
        <v>20625</v>
      </c>
      <c r="D29" s="202">
        <f>15471-373</f>
        <v>15098</v>
      </c>
      <c r="E29" s="202">
        <v>5527</v>
      </c>
      <c r="F29" s="202">
        <f t="shared" si="3"/>
        <v>-725</v>
      </c>
      <c r="G29" s="133"/>
      <c r="H29" s="133">
        <v>-300</v>
      </c>
      <c r="I29" s="133">
        <v>-525</v>
      </c>
      <c r="J29" s="133"/>
      <c r="K29" s="133">
        <v>100</v>
      </c>
      <c r="L29" s="133"/>
      <c r="M29" s="133"/>
      <c r="N29" s="133"/>
      <c r="O29" s="133"/>
      <c r="P29" s="133"/>
    </row>
    <row r="30" spans="1:16" ht="18" customHeight="1">
      <c r="A30" s="132" t="s">
        <v>4</v>
      </c>
      <c r="B30" s="130">
        <f t="shared" si="0"/>
        <v>19629</v>
      </c>
      <c r="C30" s="133">
        <f t="shared" si="2"/>
        <v>15453</v>
      </c>
      <c r="D30" s="202">
        <f>18120+D31</f>
        <v>11846</v>
      </c>
      <c r="E30" s="202">
        <f>4443+E31</f>
        <v>3607</v>
      </c>
      <c r="F30" s="202">
        <f t="shared" si="3"/>
        <v>4176</v>
      </c>
      <c r="G30" s="133"/>
      <c r="H30" s="133">
        <v>2836</v>
      </c>
      <c r="I30" s="133">
        <v>1340</v>
      </c>
      <c r="J30" s="133"/>
      <c r="K30" s="133"/>
      <c r="L30" s="133"/>
      <c r="M30" s="133"/>
      <c r="N30" s="133"/>
      <c r="O30" s="133"/>
      <c r="P30" s="133"/>
    </row>
    <row r="31" spans="1:16" ht="18" customHeight="1">
      <c r="A31" s="251" t="s">
        <v>833</v>
      </c>
      <c r="B31" s="130">
        <f t="shared" si="0"/>
        <v>-7110</v>
      </c>
      <c r="C31" s="133">
        <f t="shared" si="2"/>
        <v>-7110</v>
      </c>
      <c r="D31" s="202">
        <v>-6274</v>
      </c>
      <c r="E31" s="202">
        <v>-836</v>
      </c>
      <c r="F31" s="202"/>
      <c r="G31" s="133"/>
      <c r="H31" s="133"/>
      <c r="I31" s="133"/>
      <c r="J31" s="133"/>
      <c r="K31" s="133"/>
      <c r="L31" s="133"/>
      <c r="M31" s="133"/>
      <c r="N31" s="133"/>
      <c r="O31" s="133"/>
      <c r="P31" s="133"/>
    </row>
    <row r="32" spans="1:16" ht="18.75" customHeight="1">
      <c r="A32" s="132" t="s">
        <v>5</v>
      </c>
      <c r="B32" s="230">
        <f t="shared" si="0"/>
        <v>29054</v>
      </c>
      <c r="C32" s="202">
        <f t="shared" si="2"/>
        <v>22095</v>
      </c>
      <c r="D32" s="202">
        <f>27201+D33</f>
        <v>16898</v>
      </c>
      <c r="E32" s="202">
        <f>6693+E33</f>
        <v>5197</v>
      </c>
      <c r="F32" s="202">
        <f t="shared" si="3"/>
        <v>6959</v>
      </c>
      <c r="G32" s="133"/>
      <c r="H32" s="133">
        <f>3483-62+H33</f>
        <v>3521</v>
      </c>
      <c r="I32" s="133">
        <f>3160+62</f>
        <v>3222</v>
      </c>
      <c r="J32" s="133"/>
      <c r="K32" s="133">
        <f>316+K33</f>
        <v>216</v>
      </c>
      <c r="L32" s="133"/>
      <c r="M32" s="133"/>
      <c r="N32" s="133"/>
      <c r="O32" s="133"/>
      <c r="P32" s="133"/>
    </row>
    <row r="33" spans="1:16" ht="15" customHeight="1">
      <c r="A33" s="251" t="s">
        <v>833</v>
      </c>
      <c r="B33" s="230">
        <f t="shared" si="0"/>
        <v>-11799</v>
      </c>
      <c r="C33" s="202">
        <f t="shared" si="2"/>
        <v>-11799</v>
      </c>
      <c r="D33" s="202">
        <v>-10303</v>
      </c>
      <c r="E33" s="202">
        <v>-1496</v>
      </c>
      <c r="F33" s="202">
        <f t="shared" si="3"/>
        <v>0</v>
      </c>
      <c r="G33" s="133"/>
      <c r="H33" s="133">
        <v>100</v>
      </c>
      <c r="I33" s="133"/>
      <c r="J33" s="133"/>
      <c r="K33" s="133">
        <v>-100</v>
      </c>
      <c r="L33" s="133"/>
      <c r="M33" s="133"/>
      <c r="N33" s="133"/>
      <c r="O33" s="133"/>
      <c r="P33" s="133"/>
    </row>
    <row r="34" spans="1:16" ht="15" customHeight="1">
      <c r="A34" s="132" t="s">
        <v>6</v>
      </c>
      <c r="B34" s="130">
        <f t="shared" si="0"/>
        <v>18181</v>
      </c>
      <c r="C34" s="202">
        <f t="shared" si="2"/>
        <v>12437</v>
      </c>
      <c r="D34" s="202">
        <f>15228+D35</f>
        <v>10018</v>
      </c>
      <c r="E34" s="202">
        <f>3650+E35</f>
        <v>2419</v>
      </c>
      <c r="F34" s="202">
        <f t="shared" si="3"/>
        <v>5744</v>
      </c>
      <c r="G34" s="133"/>
      <c r="H34" s="133">
        <f>2274+H35</f>
        <v>2226</v>
      </c>
      <c r="I34" s="133">
        <v>3470</v>
      </c>
      <c r="J34" s="133"/>
      <c r="K34" s="133">
        <f>K35</f>
        <v>48</v>
      </c>
      <c r="L34" s="133"/>
      <c r="M34" s="133"/>
      <c r="N34" s="133"/>
      <c r="O34" s="133"/>
      <c r="P34" s="133"/>
    </row>
    <row r="35" spans="1:16" ht="15" customHeight="1">
      <c r="A35" s="251" t="s">
        <v>833</v>
      </c>
      <c r="B35" s="230">
        <f t="shared" si="0"/>
        <v>-6441</v>
      </c>
      <c r="C35" s="202">
        <f t="shared" si="2"/>
        <v>-6441</v>
      </c>
      <c r="D35" s="202">
        <v>-5210</v>
      </c>
      <c r="E35" s="202">
        <v>-1231</v>
      </c>
      <c r="F35" s="202">
        <f t="shared" si="3"/>
        <v>0</v>
      </c>
      <c r="G35" s="133"/>
      <c r="H35" s="133">
        <v>-48</v>
      </c>
      <c r="I35" s="133"/>
      <c r="J35" s="133"/>
      <c r="K35" s="133">
        <v>48</v>
      </c>
      <c r="L35" s="133"/>
      <c r="M35" s="133"/>
      <c r="N35" s="133"/>
      <c r="O35" s="133"/>
      <c r="P35" s="133"/>
    </row>
    <row r="36" spans="1:16" ht="15" customHeight="1">
      <c r="A36" s="132" t="s">
        <v>7</v>
      </c>
      <c r="B36" s="130">
        <f>SUM(C36+F36,L36:P36)</f>
        <v>26674</v>
      </c>
      <c r="C36" s="202">
        <f t="shared" si="2"/>
        <v>22123</v>
      </c>
      <c r="D36" s="202">
        <f>22258+D37</f>
        <v>16584</v>
      </c>
      <c r="E36" s="202">
        <v>5539</v>
      </c>
      <c r="F36" s="202">
        <f>SUM(G36:K36)</f>
        <v>4551</v>
      </c>
      <c r="G36" s="133">
        <f>40-40</f>
        <v>0</v>
      </c>
      <c r="H36" s="133">
        <f>2801+40+H37</f>
        <v>2741</v>
      </c>
      <c r="I36" s="133">
        <f>1500+I37</f>
        <v>1552</v>
      </c>
      <c r="J36" s="133"/>
      <c r="K36" s="133">
        <f>210+K37</f>
        <v>258</v>
      </c>
      <c r="L36" s="133"/>
      <c r="M36" s="133"/>
      <c r="N36" s="133"/>
      <c r="O36" s="133"/>
      <c r="P36" s="133"/>
    </row>
    <row r="37" spans="1:16" ht="15" customHeight="1">
      <c r="A37" s="251" t="s">
        <v>833</v>
      </c>
      <c r="B37" s="130">
        <f>SUM(C37+F37,L37:P37)</f>
        <v>-5674</v>
      </c>
      <c r="C37" s="202">
        <f t="shared" si="2"/>
        <v>-5674</v>
      </c>
      <c r="D37" s="202">
        <v>-5674</v>
      </c>
      <c r="E37" s="202"/>
      <c r="F37" s="202">
        <f>SUM(G37:K37)</f>
        <v>0</v>
      </c>
      <c r="G37" s="133"/>
      <c r="H37" s="133">
        <v>-100</v>
      </c>
      <c r="I37" s="133">
        <v>52</v>
      </c>
      <c r="J37" s="133"/>
      <c r="K37" s="133">
        <v>48</v>
      </c>
      <c r="L37" s="133"/>
      <c r="M37" s="133"/>
      <c r="N37" s="133"/>
      <c r="O37" s="133"/>
      <c r="P37" s="133"/>
    </row>
    <row r="38" spans="1:16" ht="15" customHeight="1">
      <c r="A38" s="132" t="s">
        <v>8</v>
      </c>
      <c r="B38" s="130">
        <f t="shared" si="0"/>
        <v>29750</v>
      </c>
      <c r="C38" s="133">
        <f t="shared" si="4" ref="C38:C46">D38+E38</f>
        <v>20894</v>
      </c>
      <c r="D38" s="202">
        <f>25517+D39</f>
        <v>16866</v>
      </c>
      <c r="E38" s="202">
        <f>6301+E39</f>
        <v>4028</v>
      </c>
      <c r="F38" s="202">
        <f t="shared" si="3"/>
        <v>8856</v>
      </c>
      <c r="G38" s="133"/>
      <c r="H38" s="133">
        <f>4857+H39</f>
        <v>4263</v>
      </c>
      <c r="I38" s="133">
        <f>3855+I39</f>
        <v>4449</v>
      </c>
      <c r="J38" s="133"/>
      <c r="K38" s="133">
        <v>144</v>
      </c>
      <c r="L38" s="133"/>
      <c r="M38" s="133"/>
      <c r="N38" s="133"/>
      <c r="O38" s="133"/>
      <c r="P38" s="133"/>
    </row>
    <row r="39" spans="1:16" ht="15" customHeight="1">
      <c r="A39" s="251" t="s">
        <v>833</v>
      </c>
      <c r="B39" s="130">
        <f t="shared" si="0"/>
        <v>-10924</v>
      </c>
      <c r="C39" s="202">
        <f t="shared" si="4"/>
        <v>-10924</v>
      </c>
      <c r="D39" s="202">
        <v>-8651</v>
      </c>
      <c r="E39" s="202">
        <v>-2273</v>
      </c>
      <c r="F39" s="202">
        <f t="shared" si="3"/>
        <v>0</v>
      </c>
      <c r="G39" s="133"/>
      <c r="H39" s="133">
        <f>-803+209</f>
        <v>-594</v>
      </c>
      <c r="I39" s="133">
        <f>803-209</f>
        <v>594</v>
      </c>
      <c r="J39" s="133"/>
      <c r="K39" s="133"/>
      <c r="L39" s="133"/>
      <c r="M39" s="133"/>
      <c r="N39" s="133"/>
      <c r="O39" s="133"/>
      <c r="P39" s="133"/>
    </row>
    <row r="40" spans="1:16" ht="15" customHeight="1">
      <c r="A40" s="132" t="s">
        <v>95</v>
      </c>
      <c r="B40" s="130">
        <f t="shared" si="0"/>
        <v>50226</v>
      </c>
      <c r="C40" s="133">
        <f t="shared" si="4"/>
        <v>39342</v>
      </c>
      <c r="D40" s="202">
        <f>22311+D41</f>
        <v>24374</v>
      </c>
      <c r="E40" s="202">
        <f>5301+E41</f>
        <v>14968</v>
      </c>
      <c r="F40" s="202">
        <f t="shared" si="3"/>
        <v>10884</v>
      </c>
      <c r="G40" s="133"/>
      <c r="H40" s="133">
        <f>1300+12000+H41</f>
        <v>9960</v>
      </c>
      <c r="I40" s="133">
        <f>3644+I41</f>
        <v>924</v>
      </c>
      <c r="J40" s="133"/>
      <c r="K40" s="133"/>
      <c r="L40" s="133"/>
      <c r="M40" s="133"/>
      <c r="N40" s="133"/>
      <c r="O40" s="133"/>
      <c r="P40" s="133"/>
    </row>
    <row r="41" spans="1:16" ht="15" customHeight="1">
      <c r="A41" s="251" t="s">
        <v>833</v>
      </c>
      <c r="B41" s="130">
        <f t="shared" si="0"/>
        <v>5670</v>
      </c>
      <c r="C41" s="202">
        <f t="shared" si="4"/>
        <v>11730</v>
      </c>
      <c r="D41" s="202">
        <v>2063</v>
      </c>
      <c r="E41" s="202">
        <v>9667</v>
      </c>
      <c r="F41" s="202">
        <f t="shared" si="3"/>
        <v>-6060</v>
      </c>
      <c r="G41" s="133"/>
      <c r="H41" s="133">
        <f>(-80)+(-585)+(-1675)-1000</f>
        <v>-3340</v>
      </c>
      <c r="I41" s="133">
        <f>80+(-2800)</f>
        <v>-2720</v>
      </c>
      <c r="J41" s="133"/>
      <c r="K41" s="133"/>
      <c r="L41" s="133"/>
      <c r="M41" s="133"/>
      <c r="N41" s="133"/>
      <c r="O41" s="133"/>
      <c r="P41" s="133"/>
    </row>
    <row r="42" spans="1:16" ht="15" customHeight="1">
      <c r="A42" s="132" t="s">
        <v>136</v>
      </c>
      <c r="B42" s="130">
        <f t="shared" si="0"/>
        <v>22144</v>
      </c>
      <c r="C42" s="202">
        <f t="shared" si="4"/>
        <v>17720</v>
      </c>
      <c r="D42" s="202">
        <f>20628+D43</f>
        <v>13883</v>
      </c>
      <c r="E42" s="202">
        <f>4935+E43</f>
        <v>3837</v>
      </c>
      <c r="F42" s="133">
        <f t="shared" si="3"/>
        <v>4424</v>
      </c>
      <c r="G42" s="133">
        <f>32+G43</f>
        <v>0</v>
      </c>
      <c r="H42" s="133">
        <f>4111-250+H43</f>
        <v>3181</v>
      </c>
      <c r="I42" s="202">
        <f>1150+200+I43</f>
        <v>1193</v>
      </c>
      <c r="J42" s="133"/>
      <c r="K42" s="133">
        <v>50</v>
      </c>
      <c r="L42" s="133"/>
      <c r="M42" s="133"/>
      <c r="N42" s="133"/>
      <c r="O42" s="133"/>
      <c r="P42" s="133"/>
    </row>
    <row r="43" spans="1:16" ht="15" customHeight="1">
      <c r="A43" s="251" t="s">
        <v>833</v>
      </c>
      <c r="B43" s="130">
        <f t="shared" si="0"/>
        <v>-8712</v>
      </c>
      <c r="C43" s="202">
        <f t="shared" si="4"/>
        <v>-7843</v>
      </c>
      <c r="D43" s="202">
        <v>-6745</v>
      </c>
      <c r="E43" s="202">
        <v>-1098</v>
      </c>
      <c r="F43" s="202">
        <f t="shared" si="3"/>
        <v>-869</v>
      </c>
      <c r="G43" s="133">
        <v>-32</v>
      </c>
      <c r="H43" s="133">
        <v>-680</v>
      </c>
      <c r="I43" s="133">
        <v>-157</v>
      </c>
      <c r="J43" s="133"/>
      <c r="K43" s="133"/>
      <c r="L43" s="133"/>
      <c r="M43" s="133"/>
      <c r="N43" s="133"/>
      <c r="O43" s="133"/>
      <c r="P43" s="133"/>
    </row>
    <row r="44" spans="1:16" ht="15" customHeight="1">
      <c r="A44" s="132" t="s">
        <v>9</v>
      </c>
      <c r="B44" s="130">
        <f t="shared" si="0"/>
        <v>15786</v>
      </c>
      <c r="C44" s="133">
        <f t="shared" si="4"/>
        <v>13377</v>
      </c>
      <c r="D44" s="202">
        <f>14640+D45</f>
        <v>9643</v>
      </c>
      <c r="E44" s="202">
        <f>3686+E45</f>
        <v>3734</v>
      </c>
      <c r="F44" s="202">
        <f t="shared" si="3"/>
        <v>2409</v>
      </c>
      <c r="G44" s="133"/>
      <c r="H44" s="133">
        <f>964+H45</f>
        <v>1141</v>
      </c>
      <c r="I44" s="133">
        <f>1445+I45</f>
        <v>1268</v>
      </c>
      <c r="J44" s="133"/>
      <c r="K44" s="133"/>
      <c r="L44" s="133"/>
      <c r="M44" s="133"/>
      <c r="N44" s="133"/>
      <c r="O44" s="133"/>
      <c r="P44" s="133"/>
    </row>
    <row r="45" spans="1:16" ht="15" customHeight="1">
      <c r="A45" s="251" t="s">
        <v>833</v>
      </c>
      <c r="B45" s="130">
        <f t="shared" si="0"/>
        <v>-4949</v>
      </c>
      <c r="C45" s="133">
        <f t="shared" si="4"/>
        <v>-4949</v>
      </c>
      <c r="D45" s="202">
        <v>-4997</v>
      </c>
      <c r="E45" s="202">
        <v>48</v>
      </c>
      <c r="F45" s="202">
        <f t="shared" si="3"/>
        <v>0</v>
      </c>
      <c r="G45" s="133"/>
      <c r="H45" s="133">
        <v>177</v>
      </c>
      <c r="I45" s="133">
        <v>-177</v>
      </c>
      <c r="J45" s="133"/>
      <c r="K45" s="133"/>
      <c r="L45" s="133"/>
      <c r="M45" s="133"/>
      <c r="N45" s="133"/>
      <c r="O45" s="133"/>
      <c r="P45" s="133"/>
    </row>
    <row r="46" spans="1:16" ht="15" customHeight="1">
      <c r="A46" s="132" t="s">
        <v>96</v>
      </c>
      <c r="B46" s="130">
        <f t="shared" si="0"/>
        <v>34119</v>
      </c>
      <c r="C46" s="133">
        <f t="shared" si="4"/>
        <v>26542</v>
      </c>
      <c r="D46" s="202">
        <v>21450</v>
      </c>
      <c r="E46" s="202">
        <v>5092</v>
      </c>
      <c r="F46" s="202">
        <f t="shared" si="3"/>
        <v>7577</v>
      </c>
      <c r="G46" s="133"/>
      <c r="H46" s="133">
        <f>4641+H47</f>
        <v>4141</v>
      </c>
      <c r="I46" s="133">
        <f>2710+I47</f>
        <v>3210</v>
      </c>
      <c r="J46" s="133"/>
      <c r="K46" s="133">
        <v>226</v>
      </c>
      <c r="L46" s="133"/>
      <c r="M46" s="133"/>
      <c r="N46" s="133"/>
      <c r="O46" s="133"/>
      <c r="P46" s="133"/>
    </row>
    <row r="47" spans="1:16" ht="15" customHeight="1">
      <c r="A47" s="251" t="s">
        <v>833</v>
      </c>
      <c r="B47" s="230">
        <f t="shared" si="0"/>
        <v>0</v>
      </c>
      <c r="C47" s="133"/>
      <c r="D47" s="202"/>
      <c r="E47" s="202"/>
      <c r="F47" s="202">
        <f t="shared" si="3"/>
        <v>0</v>
      </c>
      <c r="G47" s="133"/>
      <c r="H47" s="133">
        <v>-500</v>
      </c>
      <c r="I47" s="133">
        <v>500</v>
      </c>
      <c r="J47" s="133"/>
      <c r="K47" s="133"/>
      <c r="L47" s="133"/>
      <c r="M47" s="133"/>
      <c r="N47" s="133"/>
      <c r="O47" s="133"/>
      <c r="P47" s="133"/>
    </row>
    <row r="48" spans="1:16" ht="15" customHeight="1">
      <c r="A48" s="132" t="s">
        <v>905</v>
      </c>
      <c r="B48" s="130">
        <f t="shared" si="0"/>
        <v>58687</v>
      </c>
      <c r="C48" s="133">
        <f>D48++E48</f>
        <v>47042</v>
      </c>
      <c r="D48" s="202">
        <f>21120+D49</f>
        <v>37056</v>
      </c>
      <c r="E48" s="202">
        <f>5121+E49</f>
        <v>9986</v>
      </c>
      <c r="F48" s="202">
        <f t="shared" si="3"/>
        <v>11645</v>
      </c>
      <c r="G48" s="133">
        <f>40+G49</f>
        <v>16</v>
      </c>
      <c r="H48" s="133">
        <f>8558-170+H49</f>
        <v>7806</v>
      </c>
      <c r="I48" s="133">
        <f>3460+170+I49</f>
        <v>3729</v>
      </c>
      <c r="J48" s="133"/>
      <c r="K48" s="133">
        <f>193+K49</f>
        <v>94</v>
      </c>
      <c r="L48" s="133"/>
      <c r="M48" s="133"/>
      <c r="N48" s="133"/>
      <c r="O48" s="133"/>
      <c r="P48" s="133"/>
    </row>
    <row r="49" spans="1:16" ht="20.25" customHeight="1">
      <c r="A49" s="251" t="s">
        <v>833</v>
      </c>
      <c r="B49" s="130">
        <f t="shared" si="0"/>
        <v>20195</v>
      </c>
      <c r="C49" s="133">
        <f>D49++E49</f>
        <v>20801</v>
      </c>
      <c r="D49" s="202">
        <f>10191+5745</f>
        <v>15936</v>
      </c>
      <c r="E49" s="202">
        <f>1608+2098+1159</f>
        <v>4865</v>
      </c>
      <c r="F49" s="202">
        <f t="shared" si="3"/>
        <v>-606</v>
      </c>
      <c r="G49" s="133">
        <v>-24</v>
      </c>
      <c r="H49" s="133">
        <v>-582</v>
      </c>
      <c r="I49" s="133">
        <v>99</v>
      </c>
      <c r="J49" s="133"/>
      <c r="K49" s="133">
        <v>-99</v>
      </c>
      <c r="L49" s="133"/>
      <c r="M49" s="133"/>
      <c r="N49" s="133"/>
      <c r="O49" s="133"/>
      <c r="P49" s="133"/>
    </row>
    <row r="50" spans="1:16" ht="15" customHeight="1">
      <c r="A50" s="132" t="s">
        <v>97</v>
      </c>
      <c r="B50" s="130">
        <f t="shared" si="0"/>
        <v>20500</v>
      </c>
      <c r="C50" s="133">
        <f t="shared" si="5" ref="C50:C64">D50+E50</f>
        <v>13530</v>
      </c>
      <c r="D50" s="202">
        <v>10912</v>
      </c>
      <c r="E50" s="202">
        <v>2618</v>
      </c>
      <c r="F50" s="202">
        <f t="shared" si="3"/>
        <v>6970</v>
      </c>
      <c r="G50" s="133">
        <f>G51</f>
        <v>109</v>
      </c>
      <c r="H50" s="133">
        <f>5600+H51</f>
        <v>5475</v>
      </c>
      <c r="I50" s="133">
        <v>1370</v>
      </c>
      <c r="J50" s="133"/>
      <c r="K50" s="133">
        <f>K51</f>
        <v>16</v>
      </c>
      <c r="L50" s="133"/>
      <c r="M50" s="133"/>
      <c r="N50" s="133"/>
      <c r="O50" s="133"/>
      <c r="P50" s="133"/>
    </row>
    <row r="51" spans="1:16" ht="15" customHeight="1">
      <c r="A51" s="251" t="s">
        <v>833</v>
      </c>
      <c r="B51" s="230">
        <f t="shared" si="0"/>
        <v>0</v>
      </c>
      <c r="C51" s="133">
        <f t="shared" si="5"/>
        <v>0</v>
      </c>
      <c r="D51" s="202"/>
      <c r="E51" s="202"/>
      <c r="F51" s="202">
        <f t="shared" si="3"/>
        <v>0</v>
      </c>
      <c r="G51" s="133">
        <v>109</v>
      </c>
      <c r="H51" s="133">
        <v>-125</v>
      </c>
      <c r="I51" s="133"/>
      <c r="J51" s="133"/>
      <c r="K51" s="133">
        <v>16</v>
      </c>
      <c r="L51" s="133"/>
      <c r="M51" s="133"/>
      <c r="N51" s="133"/>
      <c r="O51" s="133"/>
      <c r="P51" s="133"/>
    </row>
    <row r="52" spans="1:16" ht="15" customHeight="1">
      <c r="A52" s="132" t="s">
        <v>98</v>
      </c>
      <c r="B52" s="130">
        <f t="shared" si="0"/>
        <v>37996</v>
      </c>
      <c r="C52" s="133">
        <f t="shared" si="5"/>
        <v>30104</v>
      </c>
      <c r="D52" s="202">
        <f>29320+D53</f>
        <v>23690</v>
      </c>
      <c r="E52" s="202">
        <f>6961+E53</f>
        <v>6414</v>
      </c>
      <c r="F52" s="202">
        <f t="shared" si="3"/>
        <v>7892</v>
      </c>
      <c r="G52" s="133">
        <f>G53</f>
        <v>16</v>
      </c>
      <c r="H52" s="202">
        <f>2205+H53</f>
        <v>2722</v>
      </c>
      <c r="I52" s="133">
        <f>5413+I53</f>
        <v>5017</v>
      </c>
      <c r="J52" s="133"/>
      <c r="K52" s="133">
        <f>274+K53</f>
        <v>137</v>
      </c>
      <c r="L52" s="133"/>
      <c r="M52" s="133"/>
      <c r="N52" s="133"/>
      <c r="O52" s="133"/>
      <c r="P52" s="133"/>
    </row>
    <row r="53" spans="1:16" ht="15" customHeight="1">
      <c r="A53" s="251" t="s">
        <v>833</v>
      </c>
      <c r="B53" s="230">
        <f t="shared" si="0"/>
        <v>-6177</v>
      </c>
      <c r="C53" s="133">
        <f t="shared" si="5"/>
        <v>-6177</v>
      </c>
      <c r="D53" s="202">
        <v>-5630</v>
      </c>
      <c r="E53" s="202">
        <v>-547</v>
      </c>
      <c r="F53" s="202">
        <f t="shared" si="3"/>
        <v>0</v>
      </c>
      <c r="G53" s="133">
        <v>16</v>
      </c>
      <c r="H53" s="133">
        <v>517</v>
      </c>
      <c r="I53" s="133">
        <v>-396</v>
      </c>
      <c r="J53" s="133"/>
      <c r="K53" s="133">
        <v>-137</v>
      </c>
      <c r="L53" s="133"/>
      <c r="M53" s="133"/>
      <c r="N53" s="133"/>
      <c r="O53" s="133"/>
      <c r="P53" s="133"/>
    </row>
    <row r="54" spans="1:16" ht="15" customHeight="1">
      <c r="A54" s="132" t="s">
        <v>10</v>
      </c>
      <c r="B54" s="130">
        <f t="shared" si="0"/>
        <v>26325</v>
      </c>
      <c r="C54" s="133">
        <f t="shared" si="5"/>
        <v>21409</v>
      </c>
      <c r="D54" s="202">
        <f>25015+D55</f>
        <v>16526</v>
      </c>
      <c r="E54" s="202">
        <f>6002+E55</f>
        <v>4883</v>
      </c>
      <c r="F54" s="202">
        <f t="shared" si="3"/>
        <v>4916</v>
      </c>
      <c r="G54" s="133">
        <v>80</v>
      </c>
      <c r="H54" s="133">
        <f>3240+H55</f>
        <v>3440</v>
      </c>
      <c r="I54" s="133">
        <f>1846+I55</f>
        <v>1204</v>
      </c>
      <c r="J54" s="133"/>
      <c r="K54" s="133">
        <f>210+K55</f>
        <v>192</v>
      </c>
      <c r="L54" s="133"/>
      <c r="M54" s="133"/>
      <c r="N54" s="133"/>
      <c r="O54" s="133"/>
      <c r="P54" s="133"/>
    </row>
    <row r="55" spans="1:16" ht="15" customHeight="1">
      <c r="A55" s="251" t="s">
        <v>833</v>
      </c>
      <c r="B55" s="130">
        <f t="shared" si="0"/>
        <v>-10068</v>
      </c>
      <c r="C55" s="133">
        <f t="shared" si="5"/>
        <v>-9608</v>
      </c>
      <c r="D55" s="202">
        <v>-8489</v>
      </c>
      <c r="E55" s="202">
        <v>-1119</v>
      </c>
      <c r="F55" s="202">
        <f t="shared" si="3"/>
        <v>-460</v>
      </c>
      <c r="G55" s="133"/>
      <c r="H55" s="133">
        <v>200</v>
      </c>
      <c r="I55" s="133">
        <f>-460+(-182)</f>
        <v>-642</v>
      </c>
      <c r="J55" s="133"/>
      <c r="K55" s="133">
        <v>-18</v>
      </c>
      <c r="L55" s="133"/>
      <c r="M55" s="133"/>
      <c r="N55" s="133"/>
      <c r="O55" s="133"/>
      <c r="P55" s="133"/>
    </row>
    <row r="56" spans="1:16" ht="15" customHeight="1">
      <c r="A56" s="132" t="s">
        <v>11</v>
      </c>
      <c r="B56" s="130">
        <f t="shared" si="0"/>
        <v>45629</v>
      </c>
      <c r="C56" s="133">
        <f t="shared" si="5"/>
        <v>27160</v>
      </c>
      <c r="D56" s="202">
        <f>21317+D57</f>
        <v>15867</v>
      </c>
      <c r="E56" s="202">
        <f>5097+E57</f>
        <v>11293</v>
      </c>
      <c r="F56" s="133">
        <f t="shared" si="3"/>
        <v>3828</v>
      </c>
      <c r="G56" s="133"/>
      <c r="H56" s="133">
        <f>2287+H57</f>
        <v>2496</v>
      </c>
      <c r="I56" s="133">
        <f>1408+I57</f>
        <v>1199</v>
      </c>
      <c r="J56" s="133"/>
      <c r="K56" s="133">
        <f>260+K57</f>
        <v>133</v>
      </c>
      <c r="L56" s="133"/>
      <c r="M56" s="133"/>
      <c r="N56" s="133">
        <f>14641</f>
        <v>14641</v>
      </c>
      <c r="O56" s="133"/>
      <c r="P56" s="133"/>
    </row>
    <row r="57" spans="1:16" ht="15" customHeight="1">
      <c r="A57" s="251" t="s">
        <v>833</v>
      </c>
      <c r="B57" s="130">
        <f t="shared" si="0"/>
        <v>619</v>
      </c>
      <c r="C57" s="133">
        <f t="shared" si="5"/>
        <v>746</v>
      </c>
      <c r="D57" s="202">
        <v>-5450</v>
      </c>
      <c r="E57" s="202">
        <f>373+5823</f>
        <v>6196</v>
      </c>
      <c r="F57" s="202">
        <f t="shared" si="3"/>
        <v>-127</v>
      </c>
      <c r="G57" s="133"/>
      <c r="H57" s="133">
        <v>209</v>
      </c>
      <c r="I57" s="133">
        <v>-209</v>
      </c>
      <c r="J57" s="133"/>
      <c r="K57" s="133">
        <v>-127</v>
      </c>
      <c r="L57" s="133"/>
      <c r="M57" s="133"/>
      <c r="N57" s="133"/>
      <c r="O57" s="133"/>
      <c r="P57" s="133"/>
    </row>
    <row r="58" spans="1:16" ht="15" customHeight="1">
      <c r="A58" s="132" t="s">
        <v>99</v>
      </c>
      <c r="B58" s="130">
        <f t="shared" si="0"/>
        <v>20806</v>
      </c>
      <c r="C58" s="133">
        <f t="shared" si="5"/>
        <v>14515</v>
      </c>
      <c r="D58" s="202">
        <f>20077+D59</f>
        <v>9907</v>
      </c>
      <c r="E58" s="202">
        <f>4874+E59</f>
        <v>4608</v>
      </c>
      <c r="F58" s="202">
        <f t="shared" si="3"/>
        <v>6291</v>
      </c>
      <c r="G58" s="133"/>
      <c r="H58" s="133">
        <f>4386+H59</f>
        <v>3771</v>
      </c>
      <c r="I58" s="133">
        <f>1485+I59</f>
        <v>2346</v>
      </c>
      <c r="J58" s="133"/>
      <c r="K58" s="133">
        <f>420+K59</f>
        <v>174</v>
      </c>
      <c r="L58" s="133"/>
      <c r="M58" s="133"/>
      <c r="N58" s="133"/>
      <c r="O58" s="133"/>
      <c r="P58" s="133"/>
    </row>
    <row r="59" spans="1:16" ht="15" customHeight="1">
      <c r="A59" s="251" t="s">
        <v>833</v>
      </c>
      <c r="B59" s="230">
        <f t="shared" si="0"/>
        <v>-10436</v>
      </c>
      <c r="C59" s="133">
        <f t="shared" si="5"/>
        <v>-10436</v>
      </c>
      <c r="D59" s="202">
        <v>-10170</v>
      </c>
      <c r="E59" s="202">
        <f>373-639</f>
        <v>-266</v>
      </c>
      <c r="F59" s="202">
        <f t="shared" si="3"/>
        <v>0</v>
      </c>
      <c r="G59" s="133"/>
      <c r="H59" s="133">
        <v>-615</v>
      </c>
      <c r="I59" s="133">
        <v>861</v>
      </c>
      <c r="J59" s="133"/>
      <c r="K59" s="133">
        <v>-246</v>
      </c>
      <c r="L59" s="133"/>
      <c r="M59" s="133"/>
      <c r="N59" s="133"/>
      <c r="O59" s="133"/>
      <c r="P59" s="133"/>
    </row>
    <row r="60" spans="1:16" ht="15" customHeight="1">
      <c r="A60" s="132" t="s">
        <v>12</v>
      </c>
      <c r="B60" s="130">
        <f t="shared" si="0"/>
        <v>32772</v>
      </c>
      <c r="C60" s="133">
        <f t="shared" si="5"/>
        <v>25240</v>
      </c>
      <c r="D60" s="202">
        <f>25414+D61</f>
        <v>18379</v>
      </c>
      <c r="E60" s="202">
        <f>6127+E61</f>
        <v>6861</v>
      </c>
      <c r="F60" s="202">
        <f t="shared" si="3"/>
        <v>7532</v>
      </c>
      <c r="G60" s="133"/>
      <c r="H60" s="133">
        <f>2962+H61</f>
        <v>3239</v>
      </c>
      <c r="I60" s="133">
        <f>4370+I61</f>
        <v>4093</v>
      </c>
      <c r="J60" s="133"/>
      <c r="K60" s="133">
        <v>200</v>
      </c>
      <c r="L60" s="133"/>
      <c r="M60" s="133"/>
      <c r="N60" s="133"/>
      <c r="O60" s="133"/>
      <c r="P60" s="133"/>
    </row>
    <row r="61" spans="1:16" ht="15" customHeight="1">
      <c r="A61" s="251" t="s">
        <v>833</v>
      </c>
      <c r="B61" s="130">
        <f t="shared" si="0"/>
        <v>-6301</v>
      </c>
      <c r="C61" s="133">
        <f t="shared" si="5"/>
        <v>-6301</v>
      </c>
      <c r="D61" s="202">
        <v>-7035</v>
      </c>
      <c r="E61" s="202">
        <v>734</v>
      </c>
      <c r="F61" s="202">
        <f t="shared" si="3"/>
        <v>0</v>
      </c>
      <c r="G61" s="133"/>
      <c r="H61" s="133">
        <v>277</v>
      </c>
      <c r="I61" s="133">
        <v>-277</v>
      </c>
      <c r="J61" s="133"/>
      <c r="K61" s="133"/>
      <c r="L61" s="133"/>
      <c r="M61" s="133"/>
      <c r="N61" s="133"/>
      <c r="O61" s="133"/>
      <c r="P61" s="133"/>
    </row>
    <row r="62" spans="1:16" ht="19.5" customHeight="1">
      <c r="A62" s="132" t="s">
        <v>906</v>
      </c>
      <c r="B62" s="130">
        <f t="shared" si="0"/>
        <v>89496</v>
      </c>
      <c r="C62" s="133">
        <f t="shared" si="5"/>
        <v>62540</v>
      </c>
      <c r="D62" s="202">
        <f>24810+D63</f>
        <v>47760</v>
      </c>
      <c r="E62" s="202">
        <f>6048+E63</f>
        <v>14780</v>
      </c>
      <c r="F62" s="133">
        <f t="shared" si="3"/>
        <v>26956</v>
      </c>
      <c r="G62" s="133"/>
      <c r="H62" s="133">
        <f>17236+H63</f>
        <v>23471</v>
      </c>
      <c r="I62" s="133">
        <f>3320+I63</f>
        <v>3320</v>
      </c>
      <c r="J62" s="133"/>
      <c r="K62" s="133">
        <f>165+K63</f>
        <v>165</v>
      </c>
      <c r="L62" s="133"/>
      <c r="M62" s="133"/>
      <c r="N62" s="133"/>
      <c r="O62" s="133"/>
      <c r="P62" s="133"/>
    </row>
    <row r="63" spans="1:16" ht="21" customHeight="1">
      <c r="A63" s="251" t="s">
        <v>833</v>
      </c>
      <c r="B63" s="230">
        <f t="shared" si="0"/>
        <v>37917</v>
      </c>
      <c r="C63" s="133">
        <f t="shared" si="5"/>
        <v>31682</v>
      </c>
      <c r="D63" s="202">
        <v>22950</v>
      </c>
      <c r="E63" s="202">
        <v>8732</v>
      </c>
      <c r="F63" s="133">
        <f t="shared" si="3"/>
        <v>6235</v>
      </c>
      <c r="G63" s="133"/>
      <c r="H63" s="133">
        <v>6235</v>
      </c>
      <c r="I63" s="133"/>
      <c r="J63" s="133"/>
      <c r="K63" s="133"/>
      <c r="L63" s="133"/>
      <c r="M63" s="133"/>
      <c r="N63" s="133"/>
      <c r="O63" s="133"/>
      <c r="P63" s="133"/>
    </row>
    <row r="64" spans="1:16" ht="15" customHeight="1">
      <c r="A64" s="132" t="s">
        <v>100</v>
      </c>
      <c r="B64" s="130">
        <f t="shared" si="0"/>
        <v>34189</v>
      </c>
      <c r="C64" s="133">
        <f t="shared" si="5"/>
        <v>26734</v>
      </c>
      <c r="D64" s="202">
        <v>21600</v>
      </c>
      <c r="E64" s="202">
        <v>5134</v>
      </c>
      <c r="F64" s="202">
        <f t="shared" si="3"/>
        <v>7455</v>
      </c>
      <c r="G64" s="133"/>
      <c r="H64" s="133">
        <f>2123+H65</f>
        <v>3234</v>
      </c>
      <c r="I64" s="133">
        <f>5122+I65</f>
        <v>4000</v>
      </c>
      <c r="J64" s="133"/>
      <c r="K64" s="133">
        <f>210+K65</f>
        <v>221</v>
      </c>
      <c r="L64" s="133"/>
      <c r="M64" s="133"/>
      <c r="N64" s="133"/>
      <c r="O64" s="133"/>
      <c r="P64" s="133"/>
    </row>
    <row r="65" spans="1:16" ht="15" customHeight="1">
      <c r="A65" s="251" t="s">
        <v>833</v>
      </c>
      <c r="B65" s="230">
        <f t="shared" si="0"/>
        <v>0</v>
      </c>
      <c r="C65" s="202"/>
      <c r="D65" s="202"/>
      <c r="E65" s="202"/>
      <c r="F65" s="202">
        <f t="shared" si="3"/>
        <v>0</v>
      </c>
      <c r="G65" s="133"/>
      <c r="H65" s="133">
        <v>1111</v>
      </c>
      <c r="I65" s="133">
        <v>-1122</v>
      </c>
      <c r="J65" s="133"/>
      <c r="K65" s="133">
        <v>11</v>
      </c>
      <c r="L65" s="133"/>
      <c r="M65" s="133"/>
      <c r="N65" s="133"/>
      <c r="O65" s="133"/>
      <c r="P65" s="133"/>
    </row>
    <row r="66" spans="1:16" ht="30" customHeight="1">
      <c r="A66" s="132" t="s">
        <v>94</v>
      </c>
      <c r="B66" s="130">
        <f>SUM(C66+F66,L66:P66)</f>
        <v>97041</v>
      </c>
      <c r="C66" s="202">
        <f>D66+E66</f>
        <v>79592</v>
      </c>
      <c r="D66" s="202">
        <f>64402+D67</f>
        <v>59234</v>
      </c>
      <c r="E66" s="202">
        <f>15190+E67</f>
        <v>20358</v>
      </c>
      <c r="F66" s="202">
        <f>SUM(G66:K66)</f>
        <v>12234</v>
      </c>
      <c r="G66" s="133">
        <v>50</v>
      </c>
      <c r="H66" s="133">
        <v>9934</v>
      </c>
      <c r="I66" s="133">
        <v>2250</v>
      </c>
      <c r="J66" s="133"/>
      <c r="K66" s="133"/>
      <c r="L66" s="133"/>
      <c r="M66" s="133"/>
      <c r="N66" s="133"/>
      <c r="O66" s="133"/>
      <c r="P66" s="133">
        <v>5215</v>
      </c>
    </row>
    <row r="67" spans="1:16" ht="30" customHeight="1">
      <c r="A67" s="251" t="s">
        <v>833</v>
      </c>
      <c r="B67" s="230">
        <f>SUM(C67+F67,L67:P67)</f>
        <v>0</v>
      </c>
      <c r="C67" s="202">
        <f>D67+E67</f>
        <v>0</v>
      </c>
      <c r="D67" s="202">
        <v>-5168</v>
      </c>
      <c r="E67" s="202">
        <v>5168</v>
      </c>
      <c r="F67" s="202"/>
      <c r="G67" s="133"/>
      <c r="H67" s="133"/>
      <c r="I67" s="133"/>
      <c r="J67" s="133"/>
      <c r="K67" s="133"/>
      <c r="L67" s="133"/>
      <c r="M67" s="133"/>
      <c r="N67" s="133"/>
      <c r="O67" s="133"/>
      <c r="P67" s="133"/>
    </row>
    <row r="68" spans="1:16" ht="15" customHeight="1">
      <c r="A68" s="132" t="s">
        <v>13</v>
      </c>
      <c r="B68" s="130">
        <f>SUM(C68:F68,L68:P68)</f>
        <v>0</v>
      </c>
      <c r="C68" s="202"/>
      <c r="D68" s="202"/>
      <c r="E68" s="202"/>
      <c r="F68" s="202">
        <f t="shared" si="3"/>
        <v>0</v>
      </c>
      <c r="G68" s="133"/>
      <c r="H68" s="133">
        <f>6000-300+H69</f>
        <v>0</v>
      </c>
      <c r="I68" s="133"/>
      <c r="J68" s="133"/>
      <c r="K68" s="133"/>
      <c r="L68" s="133"/>
      <c r="M68" s="133"/>
      <c r="N68" s="133"/>
      <c r="O68" s="133"/>
      <c r="P68" s="133"/>
    </row>
    <row r="69" spans="1:16" ht="15" customHeight="1">
      <c r="A69" s="251" t="s">
        <v>833</v>
      </c>
      <c r="B69" s="230">
        <f>SUM(C69:F69,L69:P69)</f>
        <v>-5700</v>
      </c>
      <c r="C69" s="202"/>
      <c r="D69" s="202"/>
      <c r="E69" s="202"/>
      <c r="F69" s="202">
        <f t="shared" si="3"/>
        <v>-5700</v>
      </c>
      <c r="G69" s="133"/>
      <c r="H69" s="133">
        <v>-5700</v>
      </c>
      <c r="I69" s="133"/>
      <c r="J69" s="133"/>
      <c r="K69" s="133"/>
      <c r="L69" s="133"/>
      <c r="M69" s="133"/>
      <c r="N69" s="133"/>
      <c r="O69" s="133"/>
      <c r="P69" s="133"/>
    </row>
    <row r="70" spans="1:16" ht="15" customHeight="1">
      <c r="A70" s="132" t="s">
        <v>14</v>
      </c>
      <c r="B70" s="130">
        <f>SUM(C70+F70,L70:P70)</f>
        <v>44990</v>
      </c>
      <c r="C70" s="202"/>
      <c r="D70" s="202"/>
      <c r="E70" s="202"/>
      <c r="F70" s="202">
        <f t="shared" si="3"/>
        <v>41590</v>
      </c>
      <c r="G70" s="133"/>
      <c r="H70" s="133">
        <f>41674-3400+H71</f>
        <v>41590</v>
      </c>
      <c r="I70" s="133"/>
      <c r="J70" s="133"/>
      <c r="K70" s="133"/>
      <c r="L70" s="133">
        <v>3400</v>
      </c>
      <c r="M70" s="133"/>
      <c r="N70" s="133"/>
      <c r="O70" s="133"/>
      <c r="P70" s="133"/>
    </row>
    <row r="71" spans="1:16" ht="15" customHeight="1">
      <c r="A71" s="251" t="s">
        <v>833</v>
      </c>
      <c r="B71" s="230">
        <f>SUM(C71+F71,L71:P71)</f>
        <v>3316</v>
      </c>
      <c r="C71" s="202"/>
      <c r="D71" s="202"/>
      <c r="E71" s="202"/>
      <c r="F71" s="202">
        <f t="shared" si="3"/>
        <v>3316</v>
      </c>
      <c r="G71" s="133"/>
      <c r="H71" s="133">
        <v>3316</v>
      </c>
      <c r="I71" s="133"/>
      <c r="J71" s="133"/>
      <c r="K71" s="133"/>
      <c r="L71" s="133"/>
      <c r="M71" s="133"/>
      <c r="N71" s="133"/>
      <c r="O71" s="133"/>
      <c r="P71" s="133"/>
    </row>
    <row r="72" spans="1:16" ht="30" customHeight="1">
      <c r="A72" s="132" t="s">
        <v>183</v>
      </c>
      <c r="B72" s="130">
        <f t="shared" si="6" ref="B72:B78">SUM(C72+F72,L72:P72)</f>
        <v>917057</v>
      </c>
      <c r="C72" s="202"/>
      <c r="D72" s="202"/>
      <c r="E72" s="202"/>
      <c r="F72" s="202">
        <f t="shared" si="3"/>
        <v>21819</v>
      </c>
      <c r="G72" s="133"/>
      <c r="H72" s="133">
        <f>21746+H73</f>
        <v>21819</v>
      </c>
      <c r="I72" s="133"/>
      <c r="J72" s="133"/>
      <c r="K72" s="133"/>
      <c r="L72" s="133"/>
      <c r="M72" s="133">
        <f>860221+M73</f>
        <v>895238</v>
      </c>
      <c r="N72" s="133"/>
      <c r="O72" s="133"/>
      <c r="P72" s="133"/>
    </row>
    <row r="73" spans="1:16" ht="30" customHeight="1">
      <c r="A73" s="251" t="s">
        <v>833</v>
      </c>
      <c r="B73" s="230">
        <f t="shared" si="6"/>
        <v>35090</v>
      </c>
      <c r="C73" s="202"/>
      <c r="D73" s="202"/>
      <c r="E73" s="202"/>
      <c r="F73" s="202">
        <f t="shared" si="3"/>
        <v>73</v>
      </c>
      <c r="G73" s="133"/>
      <c r="H73" s="133">
        <v>73</v>
      </c>
      <c r="I73" s="133"/>
      <c r="J73" s="133"/>
      <c r="K73" s="133"/>
      <c r="L73" s="133"/>
      <c r="M73" s="133">
        <v>35017</v>
      </c>
      <c r="N73" s="133"/>
      <c r="O73" s="133"/>
      <c r="P73" s="133"/>
    </row>
    <row r="74" spans="1:16" ht="20.25" customHeight="1">
      <c r="A74" s="132" t="s">
        <v>15</v>
      </c>
      <c r="B74" s="130">
        <f t="shared" si="6"/>
        <v>84862</v>
      </c>
      <c r="C74" s="202">
        <f t="shared" si="7" ref="C74:C80">D74+E74</f>
        <v>65842</v>
      </c>
      <c r="D74" s="202">
        <f>43987+D75</f>
        <v>46261</v>
      </c>
      <c r="E74" s="202">
        <f>12854+E75</f>
        <v>19581</v>
      </c>
      <c r="F74" s="202">
        <f t="shared" si="3"/>
        <v>19020</v>
      </c>
      <c r="G74" s="133">
        <f>140+G75</f>
        <v>80</v>
      </c>
      <c r="H74" s="133">
        <f>15455+H75</f>
        <v>14976</v>
      </c>
      <c r="I74" s="133">
        <f>3425+I75</f>
        <v>3964</v>
      </c>
      <c r="J74" s="133"/>
      <c r="K74" s="133"/>
      <c r="L74" s="133"/>
      <c r="M74" s="133"/>
      <c r="N74" s="133"/>
      <c r="O74" s="133"/>
      <c r="P74" s="133"/>
    </row>
    <row r="75" spans="1:16" ht="20.25" customHeight="1">
      <c r="A75" s="251" t="s">
        <v>833</v>
      </c>
      <c r="B75" s="130">
        <f t="shared" si="6"/>
        <v>9001</v>
      </c>
      <c r="C75" s="202">
        <f t="shared" si="7"/>
        <v>9001</v>
      </c>
      <c r="D75" s="202">
        <v>2274</v>
      </c>
      <c r="E75" s="202">
        <v>6727</v>
      </c>
      <c r="F75" s="202">
        <f t="shared" si="3"/>
        <v>0</v>
      </c>
      <c r="G75" s="133">
        <v>-60</v>
      </c>
      <c r="H75" s="133">
        <v>-479</v>
      </c>
      <c r="I75" s="133">
        <v>539</v>
      </c>
      <c r="J75" s="133"/>
      <c r="K75" s="133"/>
      <c r="L75" s="133"/>
      <c r="M75" s="133"/>
      <c r="N75" s="133"/>
      <c r="O75" s="133"/>
      <c r="P75" s="133"/>
    </row>
    <row r="76" spans="1:16" ht="22.5" customHeight="1">
      <c r="A76" s="134" t="s">
        <v>16</v>
      </c>
      <c r="B76" s="130">
        <f>SUM(C76+F76,L76:P76)</f>
        <v>181947</v>
      </c>
      <c r="C76" s="202">
        <f t="shared" si="7"/>
        <v>161849</v>
      </c>
      <c r="D76" s="202">
        <f>131916</f>
        <v>131916</v>
      </c>
      <c r="E76" s="202">
        <v>29933</v>
      </c>
      <c r="F76" s="202">
        <f>SUM(G76:K76)</f>
        <v>19318</v>
      </c>
      <c r="G76" s="133">
        <v>130</v>
      </c>
      <c r="H76" s="133">
        <v>8208</v>
      </c>
      <c r="I76" s="133">
        <v>10830</v>
      </c>
      <c r="J76" s="133"/>
      <c r="K76" s="133">
        <v>150</v>
      </c>
      <c r="L76" s="133"/>
      <c r="M76" s="133"/>
      <c r="N76" s="133">
        <v>780</v>
      </c>
      <c r="O76" s="133"/>
      <c r="P76" s="133"/>
    </row>
    <row r="77" spans="1:16" ht="26.25" customHeight="1">
      <c r="A77" s="129" t="s">
        <v>60</v>
      </c>
      <c r="B77" s="130">
        <f t="shared" si="6"/>
        <v>70774</v>
      </c>
      <c r="C77" s="202">
        <f t="shared" si="7"/>
        <v>66074</v>
      </c>
      <c r="D77" s="202">
        <f>48241+D78</f>
        <v>51773</v>
      </c>
      <c r="E77" s="202">
        <f>11945+E78</f>
        <v>14301</v>
      </c>
      <c r="F77" s="202">
        <f t="shared" si="3"/>
        <v>4700</v>
      </c>
      <c r="G77" s="133"/>
      <c r="H77" s="133">
        <v>3920</v>
      </c>
      <c r="I77" s="133">
        <f>780-150</f>
        <v>630</v>
      </c>
      <c r="J77" s="133"/>
      <c r="K77" s="133">
        <v>150</v>
      </c>
      <c r="L77" s="133"/>
      <c r="M77" s="133"/>
      <c r="N77" s="133"/>
      <c r="O77" s="133"/>
      <c r="P77" s="133"/>
    </row>
    <row r="78" spans="1:16" ht="19.5" customHeight="1">
      <c r="A78" s="250" t="s">
        <v>833</v>
      </c>
      <c r="B78" s="230">
        <f t="shared" si="6"/>
        <v>5888</v>
      </c>
      <c r="C78" s="202">
        <f t="shared" si="7"/>
        <v>5888</v>
      </c>
      <c r="D78" s="202">
        <v>3532</v>
      </c>
      <c r="E78" s="202">
        <v>2356</v>
      </c>
      <c r="F78" s="202"/>
      <c r="G78" s="133"/>
      <c r="H78" s="133"/>
      <c r="I78" s="133"/>
      <c r="J78" s="133"/>
      <c r="K78" s="133"/>
      <c r="L78" s="133"/>
      <c r="M78" s="133"/>
      <c r="N78" s="133"/>
      <c r="O78" s="133"/>
      <c r="P78" s="133"/>
    </row>
    <row r="79" spans="1:16" ht="20.25" customHeight="1">
      <c r="A79" s="132" t="s">
        <v>17</v>
      </c>
      <c r="B79" s="130">
        <f>SUM(C79+F79,L79:P79)</f>
        <v>62060</v>
      </c>
      <c r="C79" s="202">
        <f t="shared" si="7"/>
        <v>60353</v>
      </c>
      <c r="D79" s="202">
        <f>46338+D80</f>
        <v>46338</v>
      </c>
      <c r="E79" s="202">
        <f>11781+E80</f>
        <v>14015</v>
      </c>
      <c r="F79" s="202">
        <f t="shared" si="3"/>
        <v>1707</v>
      </c>
      <c r="G79" s="133">
        <v>150</v>
      </c>
      <c r="H79" s="133">
        <f>705</f>
        <v>705</v>
      </c>
      <c r="I79" s="133">
        <v>850</v>
      </c>
      <c r="J79" s="133"/>
      <c r="K79" s="133">
        <f>K80</f>
        <v>2</v>
      </c>
      <c r="L79" s="133"/>
      <c r="M79" s="133"/>
      <c r="N79" s="133"/>
      <c r="O79" s="133"/>
      <c r="P79" s="133"/>
    </row>
    <row r="80" spans="1:16" ht="22.5" customHeight="1">
      <c r="A80" s="251" t="s">
        <v>833</v>
      </c>
      <c r="B80" s="230">
        <f>SUM(C80+F80,L80:P80)</f>
        <v>2236</v>
      </c>
      <c r="C80" s="202">
        <f t="shared" si="7"/>
        <v>2234</v>
      </c>
      <c r="D80" s="202"/>
      <c r="E80" s="202">
        <v>2234</v>
      </c>
      <c r="F80" s="202">
        <f t="shared" si="3"/>
        <v>2</v>
      </c>
      <c r="G80" s="133"/>
      <c r="H80" s="133"/>
      <c r="I80" s="133"/>
      <c r="J80" s="133"/>
      <c r="K80" s="133">
        <v>2</v>
      </c>
      <c r="L80" s="133"/>
      <c r="M80" s="133"/>
      <c r="N80" s="133"/>
      <c r="O80" s="133"/>
      <c r="P80" s="133"/>
    </row>
    <row r="81" spans="1:16" ht="26.25" customHeight="1">
      <c r="A81" s="132" t="s">
        <v>18</v>
      </c>
      <c r="B81" s="130">
        <f>SUM(C81:F81,L81:P81)</f>
        <v>110000</v>
      </c>
      <c r="C81" s="202"/>
      <c r="D81" s="202"/>
      <c r="E81" s="202"/>
      <c r="F81" s="202">
        <f>SUM(G81:K81)</f>
        <v>110000</v>
      </c>
      <c r="G81" s="133"/>
      <c r="H81" s="133"/>
      <c r="I81" s="133"/>
      <c r="J81" s="133"/>
      <c r="K81" s="133">
        <f>90000+K82</f>
        <v>110000</v>
      </c>
      <c r="L81" s="133"/>
      <c r="M81" s="133"/>
      <c r="N81" s="133"/>
      <c r="O81" s="133"/>
      <c r="P81" s="133"/>
    </row>
    <row r="82" spans="1:16" ht="24.75" customHeight="1">
      <c r="A82" s="251" t="s">
        <v>833</v>
      </c>
      <c r="B82" s="230">
        <f>SUM(C82:F82,L82:P82)</f>
        <v>20000</v>
      </c>
      <c r="C82" s="202"/>
      <c r="D82" s="202"/>
      <c r="E82" s="202"/>
      <c r="F82" s="202">
        <f>SUM(G82:K82)</f>
        <v>20000</v>
      </c>
      <c r="G82" s="133"/>
      <c r="H82" s="133"/>
      <c r="I82" s="133"/>
      <c r="J82" s="133"/>
      <c r="K82" s="133">
        <v>20000</v>
      </c>
      <c r="L82" s="133"/>
      <c r="M82" s="133"/>
      <c r="N82" s="133"/>
      <c r="O82" s="133"/>
      <c r="P82" s="133"/>
    </row>
    <row r="83" spans="1:16" ht="30" customHeight="1">
      <c r="A83" s="132" t="s">
        <v>63</v>
      </c>
      <c r="B83" s="130">
        <f>SUM(C83:F83,L83:P83)</f>
        <v>3721</v>
      </c>
      <c r="C83" s="202"/>
      <c r="D83" s="202"/>
      <c r="E83" s="202"/>
      <c r="F83" s="202">
        <f>SUM(G83:K83)</f>
        <v>0</v>
      </c>
      <c r="G83" s="133"/>
      <c r="H83" s="133"/>
      <c r="I83" s="133"/>
      <c r="J83" s="133"/>
      <c r="K83" s="133"/>
      <c r="L83" s="133"/>
      <c r="M83" s="133"/>
      <c r="N83" s="133"/>
      <c r="O83" s="133"/>
      <c r="P83" s="133">
        <f>3244+477</f>
        <v>3721</v>
      </c>
    </row>
    <row r="84" spans="1:16" ht="30" customHeight="1">
      <c r="A84" s="132" t="s">
        <v>65</v>
      </c>
      <c r="B84" s="130">
        <f>SUM(C84+F84,L84:P84)</f>
        <v>100407</v>
      </c>
      <c r="C84" s="202">
        <f>D84+E84</f>
        <v>67840</v>
      </c>
      <c r="D84" s="202">
        <v>49282</v>
      </c>
      <c r="E84" s="202">
        <f>11858+E85</f>
        <v>18558</v>
      </c>
      <c r="F84" s="202">
        <f t="shared" si="8" ref="F84:F120">SUM(G84:K84)</f>
        <v>32567</v>
      </c>
      <c r="G84" s="133">
        <v>520</v>
      </c>
      <c r="H84" s="133">
        <v>28147</v>
      </c>
      <c r="I84" s="133">
        <v>3900</v>
      </c>
      <c r="J84" s="133"/>
      <c r="K84" s="133"/>
      <c r="L84" s="133"/>
      <c r="M84" s="133"/>
      <c r="N84" s="133"/>
      <c r="O84" s="133"/>
      <c r="P84" s="133"/>
    </row>
    <row r="85" spans="1:16" ht="30" customHeight="1">
      <c r="A85" s="251" t="s">
        <v>833</v>
      </c>
      <c r="B85" s="230">
        <f>SUM(C85+F85,L85:P85)</f>
        <v>6700</v>
      </c>
      <c r="C85" s="202">
        <f>D85+E85</f>
        <v>6700</v>
      </c>
      <c r="D85" s="202"/>
      <c r="E85" s="202">
        <v>6700</v>
      </c>
      <c r="F85" s="202">
        <f t="shared" si="8"/>
        <v>0</v>
      </c>
      <c r="G85" s="133"/>
      <c r="H85" s="133"/>
      <c r="I85" s="133"/>
      <c r="J85" s="133"/>
      <c r="K85" s="133"/>
      <c r="L85" s="133"/>
      <c r="M85" s="133"/>
      <c r="N85" s="133"/>
      <c r="O85" s="133"/>
      <c r="P85" s="133"/>
    </row>
    <row r="86" spans="1:16" ht="21.75" customHeight="1">
      <c r="A86" s="132" t="s">
        <v>190</v>
      </c>
      <c r="B86" s="130">
        <f>SUM(C86:F86,L86:P86)</f>
        <v>50000</v>
      </c>
      <c r="C86" s="202"/>
      <c r="D86" s="202"/>
      <c r="E86" s="202"/>
      <c r="F86" s="202">
        <f t="shared" si="8"/>
        <v>0</v>
      </c>
      <c r="G86" s="133"/>
      <c r="H86" s="133"/>
      <c r="I86" s="133"/>
      <c r="J86" s="133"/>
      <c r="K86" s="133"/>
      <c r="L86" s="133">
        <v>50000</v>
      </c>
      <c r="M86" s="133"/>
      <c r="N86" s="133"/>
      <c r="O86" s="133"/>
      <c r="P86" s="133"/>
    </row>
    <row r="87" spans="1:16" ht="30" customHeight="1">
      <c r="A87" s="131" t="s">
        <v>68</v>
      </c>
      <c r="B87" s="130">
        <f>SUM(C87:F87,L87:P87)</f>
        <v>104110</v>
      </c>
      <c r="C87" s="202"/>
      <c r="D87" s="202"/>
      <c r="E87" s="202"/>
      <c r="F87" s="202">
        <f t="shared" si="8"/>
        <v>66725</v>
      </c>
      <c r="G87" s="133"/>
      <c r="H87" s="133">
        <f>103910-37385</f>
        <v>66525</v>
      </c>
      <c r="I87" s="133">
        <v>200</v>
      </c>
      <c r="J87" s="133"/>
      <c r="K87" s="133"/>
      <c r="L87" s="133"/>
      <c r="M87" s="133"/>
      <c r="N87" s="133">
        <v>37385</v>
      </c>
      <c r="O87" s="133"/>
      <c r="P87" s="133"/>
    </row>
    <row r="88" spans="1:16" ht="30" customHeight="1">
      <c r="A88" s="131" t="s">
        <v>221</v>
      </c>
      <c r="B88" s="130">
        <f t="shared" si="9" ref="B88:B115">SUM(C88+F88,L88:P88)</f>
        <v>65579</v>
      </c>
      <c r="C88" s="202"/>
      <c r="D88" s="202"/>
      <c r="E88" s="202"/>
      <c r="F88" s="202">
        <f t="shared" si="8"/>
        <v>65579</v>
      </c>
      <c r="G88" s="133"/>
      <c r="H88" s="133">
        <v>47974</v>
      </c>
      <c r="I88" s="133">
        <v>17605</v>
      </c>
      <c r="J88" s="133"/>
      <c r="K88" s="133"/>
      <c r="L88" s="133"/>
      <c r="M88" s="133"/>
      <c r="N88" s="133"/>
      <c r="O88" s="133"/>
      <c r="P88" s="133"/>
    </row>
    <row r="89" spans="1:16" ht="30" customHeight="1">
      <c r="A89" s="131" t="s">
        <v>69</v>
      </c>
      <c r="B89" s="130">
        <f t="shared" si="9"/>
        <v>28549</v>
      </c>
      <c r="C89" s="202"/>
      <c r="D89" s="202"/>
      <c r="E89" s="202"/>
      <c r="F89" s="202">
        <f t="shared" si="8"/>
        <v>28549</v>
      </c>
      <c r="G89" s="133"/>
      <c r="H89" s="133">
        <f>23749+H90</f>
        <v>24215</v>
      </c>
      <c r="I89" s="133">
        <f>4800+I90</f>
        <v>4334</v>
      </c>
      <c r="J89" s="133"/>
      <c r="K89" s="133"/>
      <c r="L89" s="133"/>
      <c r="M89" s="133"/>
      <c r="N89" s="133"/>
      <c r="O89" s="133"/>
      <c r="P89" s="133"/>
    </row>
    <row r="90" spans="1:16" ht="30" customHeight="1">
      <c r="A90" s="250" t="s">
        <v>833</v>
      </c>
      <c r="B90" s="130">
        <f t="shared" si="9"/>
        <v>0</v>
      </c>
      <c r="C90" s="202"/>
      <c r="D90" s="202"/>
      <c r="E90" s="202"/>
      <c r="F90" s="202">
        <f t="shared" si="8"/>
        <v>0</v>
      </c>
      <c r="G90" s="133"/>
      <c r="H90" s="133">
        <v>466</v>
      </c>
      <c r="I90" s="133">
        <v>-466</v>
      </c>
      <c r="J90" s="133"/>
      <c r="K90" s="133"/>
      <c r="L90" s="133"/>
      <c r="M90" s="133"/>
      <c r="N90" s="133"/>
      <c r="O90" s="133"/>
      <c r="P90" s="133"/>
    </row>
    <row r="91" spans="1:16" ht="30" customHeight="1">
      <c r="A91" s="131" t="s">
        <v>70</v>
      </c>
      <c r="B91" s="130">
        <f t="shared" si="9"/>
        <v>24752</v>
      </c>
      <c r="C91" s="202"/>
      <c r="D91" s="202"/>
      <c r="E91" s="202"/>
      <c r="F91" s="202">
        <f t="shared" si="8"/>
        <v>24752</v>
      </c>
      <c r="G91" s="133"/>
      <c r="H91" s="133">
        <f>23702+H92</f>
        <v>24195</v>
      </c>
      <c r="I91" s="133">
        <f>1050+I92</f>
        <v>557</v>
      </c>
      <c r="J91" s="133"/>
      <c r="K91" s="133"/>
      <c r="L91" s="133"/>
      <c r="M91" s="133"/>
      <c r="N91" s="133"/>
      <c r="O91" s="133"/>
      <c r="P91" s="133"/>
    </row>
    <row r="92" spans="1:16" ht="30" customHeight="1">
      <c r="A92" s="250" t="s">
        <v>833</v>
      </c>
      <c r="B92" s="130">
        <f t="shared" si="9"/>
        <v>0</v>
      </c>
      <c r="C92" s="202"/>
      <c r="D92" s="202"/>
      <c r="E92" s="202"/>
      <c r="F92" s="202">
        <f t="shared" si="8"/>
        <v>0</v>
      </c>
      <c r="G92" s="133"/>
      <c r="H92" s="133">
        <v>493</v>
      </c>
      <c r="I92" s="133">
        <v>-493</v>
      </c>
      <c r="J92" s="133"/>
      <c r="K92" s="133"/>
      <c r="L92" s="133"/>
      <c r="M92" s="133"/>
      <c r="N92" s="133"/>
      <c r="O92" s="133"/>
      <c r="P92" s="133"/>
    </row>
    <row r="93" spans="1:16" ht="31.5" customHeight="1">
      <c r="A93" s="131" t="s">
        <v>71</v>
      </c>
      <c r="B93" s="264">
        <f>SUM(C93+F93,L93:P93)</f>
        <v>69706</v>
      </c>
      <c r="C93" s="202"/>
      <c r="D93" s="202"/>
      <c r="E93" s="202"/>
      <c r="F93" s="202">
        <f>SUM(G93:K93)</f>
        <v>50914</v>
      </c>
      <c r="G93" s="133"/>
      <c r="H93" s="133">
        <f>61506-4322+H94</f>
        <v>48233</v>
      </c>
      <c r="I93" s="133">
        <f>2200+I94</f>
        <v>2681</v>
      </c>
      <c r="J93" s="133"/>
      <c r="K93" s="133"/>
      <c r="L93" s="133"/>
      <c r="M93" s="133"/>
      <c r="N93" s="133">
        <f>6000+4322+N94</f>
        <v>18792</v>
      </c>
      <c r="O93" s="133"/>
      <c r="P93" s="133"/>
    </row>
    <row r="94" spans="1:16" ht="30" customHeight="1">
      <c r="A94" s="250" t="s">
        <v>833</v>
      </c>
      <c r="B94" s="130">
        <f>SUM(C94+F94,L94:P94)</f>
        <v>0</v>
      </c>
      <c r="C94" s="202"/>
      <c r="D94" s="202"/>
      <c r="E94" s="202"/>
      <c r="F94" s="202">
        <f>SUM(G94:K94)</f>
        <v>-8470</v>
      </c>
      <c r="G94" s="133"/>
      <c r="H94" s="133">
        <v>-8951</v>
      </c>
      <c r="I94" s="133">
        <f>426+55</f>
        <v>481</v>
      </c>
      <c r="J94" s="133"/>
      <c r="K94" s="133"/>
      <c r="L94" s="133"/>
      <c r="M94" s="133"/>
      <c r="N94" s="133">
        <v>8470</v>
      </c>
      <c r="O94" s="133"/>
      <c r="P94" s="133"/>
    </row>
    <row r="95" spans="1:16" ht="30" customHeight="1">
      <c r="A95" s="131" t="s">
        <v>72</v>
      </c>
      <c r="B95" s="264">
        <f t="shared" si="9"/>
        <v>37968</v>
      </c>
      <c r="C95" s="202"/>
      <c r="D95" s="202"/>
      <c r="E95" s="202"/>
      <c r="F95" s="202">
        <f t="shared" si="8"/>
        <v>37968</v>
      </c>
      <c r="G95" s="133"/>
      <c r="H95" s="133">
        <v>36748</v>
      </c>
      <c r="I95" s="133">
        <v>1220</v>
      </c>
      <c r="J95" s="133"/>
      <c r="K95" s="133"/>
      <c r="L95" s="133"/>
      <c r="M95" s="133"/>
      <c r="N95" s="133"/>
      <c r="O95" s="133"/>
      <c r="P95" s="133"/>
    </row>
    <row r="96" spans="1:16" ht="30" customHeight="1">
      <c r="A96" s="131" t="s">
        <v>73</v>
      </c>
      <c r="B96" s="264">
        <f t="shared" si="9"/>
        <v>25188</v>
      </c>
      <c r="C96" s="202"/>
      <c r="D96" s="202"/>
      <c r="E96" s="202"/>
      <c r="F96" s="202">
        <f t="shared" si="8"/>
        <v>25188</v>
      </c>
      <c r="G96" s="133"/>
      <c r="H96" s="133">
        <v>23778</v>
      </c>
      <c r="I96" s="133">
        <v>1410</v>
      </c>
      <c r="J96" s="133"/>
      <c r="K96" s="133"/>
      <c r="L96" s="133"/>
      <c r="M96" s="133"/>
      <c r="N96" s="133"/>
      <c r="O96" s="133"/>
      <c r="P96" s="133"/>
    </row>
    <row r="97" spans="1:16" ht="30" customHeight="1">
      <c r="A97" s="131" t="s">
        <v>74</v>
      </c>
      <c r="B97" s="130">
        <f t="shared" si="9"/>
        <v>34470</v>
      </c>
      <c r="C97" s="202"/>
      <c r="D97" s="202"/>
      <c r="E97" s="202"/>
      <c r="F97" s="202">
        <f t="shared" si="8"/>
        <v>34470</v>
      </c>
      <c r="G97" s="133"/>
      <c r="H97" s="133">
        <f>34370-2306</f>
        <v>32064</v>
      </c>
      <c r="I97" s="133">
        <f>100+2306</f>
        <v>2406</v>
      </c>
      <c r="J97" s="133"/>
      <c r="K97" s="133"/>
      <c r="L97" s="133"/>
      <c r="M97" s="133"/>
      <c r="N97" s="133"/>
      <c r="O97" s="133"/>
      <c r="P97" s="133"/>
    </row>
    <row r="98" spans="1:16" ht="33.75" customHeight="1">
      <c r="A98" s="131" t="s">
        <v>219</v>
      </c>
      <c r="B98" s="264">
        <f t="shared" si="9"/>
        <v>17215</v>
      </c>
      <c r="C98" s="202"/>
      <c r="D98" s="202"/>
      <c r="E98" s="202"/>
      <c r="F98" s="202">
        <f t="shared" si="8"/>
        <v>17215</v>
      </c>
      <c r="G98" s="133"/>
      <c r="H98" s="133">
        <f>13015+H99</f>
        <v>12415</v>
      </c>
      <c r="I98" s="133">
        <f>4200+I99</f>
        <v>4800</v>
      </c>
      <c r="J98" s="133"/>
      <c r="K98" s="133"/>
      <c r="L98" s="133"/>
      <c r="M98" s="133"/>
      <c r="N98" s="133"/>
      <c r="O98" s="133"/>
      <c r="P98" s="133"/>
    </row>
    <row r="99" spans="1:16" ht="30" customHeight="1">
      <c r="A99" s="250" t="s">
        <v>833</v>
      </c>
      <c r="B99" s="230">
        <f t="shared" si="9"/>
        <v>0</v>
      </c>
      <c r="C99" s="202"/>
      <c r="D99" s="202"/>
      <c r="E99" s="202"/>
      <c r="F99" s="202">
        <f t="shared" si="8"/>
        <v>0</v>
      </c>
      <c r="G99" s="133"/>
      <c r="H99" s="133">
        <v>-600</v>
      </c>
      <c r="I99" s="133">
        <v>600</v>
      </c>
      <c r="J99" s="133"/>
      <c r="K99" s="133"/>
      <c r="L99" s="133"/>
      <c r="M99" s="133"/>
      <c r="N99" s="133"/>
      <c r="O99" s="133"/>
      <c r="P99" s="133"/>
    </row>
    <row r="100" spans="1:16" ht="36.75" customHeight="1">
      <c r="A100" s="132" t="s">
        <v>75</v>
      </c>
      <c r="B100" s="264">
        <f t="shared" si="9"/>
        <v>15475</v>
      </c>
      <c r="C100" s="202"/>
      <c r="D100" s="202"/>
      <c r="E100" s="202"/>
      <c r="F100" s="202">
        <f t="shared" si="8"/>
        <v>15475</v>
      </c>
      <c r="G100" s="133"/>
      <c r="H100" s="133">
        <v>15295</v>
      </c>
      <c r="I100" s="133">
        <v>180</v>
      </c>
      <c r="J100" s="133"/>
      <c r="K100" s="133"/>
      <c r="L100" s="133"/>
      <c r="M100" s="133"/>
      <c r="N100" s="133"/>
      <c r="O100" s="133"/>
      <c r="P100" s="133"/>
    </row>
    <row r="101" spans="1:16" ht="39.75" customHeight="1">
      <c r="A101" s="132" t="s">
        <v>753</v>
      </c>
      <c r="B101" s="264">
        <f>SUM(C101+F101,L101:P101)</f>
        <v>70044</v>
      </c>
      <c r="C101" s="202"/>
      <c r="D101" s="202"/>
      <c r="E101" s="202"/>
      <c r="F101" s="202">
        <f>SUM(G101:K101)</f>
        <v>58144</v>
      </c>
      <c r="G101" s="133"/>
      <c r="H101" s="133">
        <f>9000+50</f>
        <v>9050</v>
      </c>
      <c r="I101" s="133">
        <f>41044-50+8100</f>
        <v>49094</v>
      </c>
      <c r="J101" s="133"/>
      <c r="K101" s="133"/>
      <c r="L101" s="133"/>
      <c r="M101" s="133"/>
      <c r="N101" s="133">
        <f>20000+(-8100)</f>
        <v>11900</v>
      </c>
      <c r="O101" s="133"/>
      <c r="P101" s="133"/>
    </row>
    <row r="102" spans="1:16" ht="35.25" customHeight="1">
      <c r="A102" s="132" t="s">
        <v>218</v>
      </c>
      <c r="B102" s="264">
        <f>SUM(C102+F102,L102:P102)</f>
        <v>39490</v>
      </c>
      <c r="C102" s="202"/>
      <c r="D102" s="202"/>
      <c r="E102" s="202"/>
      <c r="F102" s="202">
        <f>SUM(G102:K102)</f>
        <v>39490</v>
      </c>
      <c r="G102" s="133"/>
      <c r="H102" s="133">
        <f>38840-3500+H103</f>
        <v>34884</v>
      </c>
      <c r="I102" s="133">
        <f>650+3500+I103</f>
        <v>4606</v>
      </c>
      <c r="J102" s="133"/>
      <c r="K102" s="133"/>
      <c r="L102" s="133"/>
      <c r="M102" s="133"/>
      <c r="N102" s="133"/>
      <c r="O102" s="133"/>
      <c r="P102" s="133"/>
    </row>
    <row r="103" spans="1:16" ht="35.25" customHeight="1">
      <c r="A103" s="251" t="s">
        <v>833</v>
      </c>
      <c r="B103" s="271">
        <f>SUM(C103+F103,L103:P103)</f>
        <v>0</v>
      </c>
      <c r="C103" s="202"/>
      <c r="D103" s="202"/>
      <c r="E103" s="202"/>
      <c r="F103" s="202">
        <f>SUM(G103:K103)</f>
        <v>0</v>
      </c>
      <c r="G103" s="133"/>
      <c r="H103" s="133">
        <v>-456</v>
      </c>
      <c r="I103" s="133">
        <v>456</v>
      </c>
      <c r="J103" s="133"/>
      <c r="K103" s="133"/>
      <c r="L103" s="133"/>
      <c r="M103" s="133"/>
      <c r="N103" s="133"/>
      <c r="O103" s="133"/>
      <c r="P103" s="133"/>
    </row>
    <row r="104" spans="1:16" ht="33" customHeight="1">
      <c r="A104" s="131" t="s">
        <v>220</v>
      </c>
      <c r="B104" s="264">
        <f t="shared" si="9"/>
        <v>272453</v>
      </c>
      <c r="C104" s="202"/>
      <c r="D104" s="202"/>
      <c r="E104" s="202"/>
      <c r="F104" s="202">
        <f t="shared" si="8"/>
        <v>139453</v>
      </c>
      <c r="G104" s="133"/>
      <c r="H104" s="133">
        <f>31453-980</f>
        <v>30473</v>
      </c>
      <c r="I104" s="133">
        <f>46000+62980</f>
        <v>108980</v>
      </c>
      <c r="J104" s="133"/>
      <c r="K104" s="133"/>
      <c r="L104" s="133"/>
      <c r="M104" s="133"/>
      <c r="N104" s="133">
        <f>195000-62000</f>
        <v>133000</v>
      </c>
      <c r="O104" s="133"/>
      <c r="P104" s="133"/>
    </row>
    <row r="105" spans="1:16" ht="32.25" customHeight="1">
      <c r="A105" s="131" t="s">
        <v>222</v>
      </c>
      <c r="B105" s="264">
        <f t="shared" si="9"/>
        <v>52319</v>
      </c>
      <c r="C105" s="202">
        <f>D105+E105</f>
        <v>2472</v>
      </c>
      <c r="D105" s="202">
        <v>2000</v>
      </c>
      <c r="E105" s="202">
        <v>472</v>
      </c>
      <c r="F105" s="202">
        <f t="shared" si="8"/>
        <v>29847</v>
      </c>
      <c r="G105" s="133"/>
      <c r="H105" s="133">
        <v>19867</v>
      </c>
      <c r="I105" s="133">
        <v>9980</v>
      </c>
      <c r="J105" s="133"/>
      <c r="K105" s="133"/>
      <c r="L105" s="133"/>
      <c r="M105" s="133"/>
      <c r="N105" s="133">
        <v>20000</v>
      </c>
      <c r="O105" s="133"/>
      <c r="P105" s="133"/>
    </row>
    <row r="106" spans="1:16" ht="33" customHeight="1">
      <c r="A106" s="131" t="s">
        <v>223</v>
      </c>
      <c r="B106" s="264">
        <f t="shared" si="9"/>
        <v>83521</v>
      </c>
      <c r="C106" s="202">
        <f>D106+E106</f>
        <v>0</v>
      </c>
      <c r="D106" s="202"/>
      <c r="E106" s="202"/>
      <c r="F106" s="202">
        <f t="shared" si="8"/>
        <v>55321</v>
      </c>
      <c r="G106" s="133"/>
      <c r="H106" s="133">
        <v>50483</v>
      </c>
      <c r="I106" s="133">
        <v>4838</v>
      </c>
      <c r="J106" s="133"/>
      <c r="K106" s="133"/>
      <c r="L106" s="133"/>
      <c r="M106" s="133"/>
      <c r="N106" s="133">
        <v>28200</v>
      </c>
      <c r="O106" s="133"/>
      <c r="P106" s="133"/>
    </row>
    <row r="107" spans="1:16" ht="32.25" customHeight="1">
      <c r="A107" s="131" t="s">
        <v>76</v>
      </c>
      <c r="B107" s="264">
        <f t="shared" si="9"/>
        <v>48629</v>
      </c>
      <c r="C107" s="202">
        <f>D107+E107</f>
        <v>978</v>
      </c>
      <c r="D107" s="202">
        <f>D108</f>
        <v>791</v>
      </c>
      <c r="E107" s="202">
        <f>E108</f>
        <v>187</v>
      </c>
      <c r="F107" s="202">
        <f t="shared" si="8"/>
        <v>47651</v>
      </c>
      <c r="G107" s="133"/>
      <c r="H107" s="133">
        <f>43229+H108</f>
        <v>42251</v>
      </c>
      <c r="I107" s="133">
        <v>5400</v>
      </c>
      <c r="J107" s="133"/>
      <c r="K107" s="133"/>
      <c r="L107" s="133"/>
      <c r="M107" s="133"/>
      <c r="N107" s="133"/>
      <c r="O107" s="133"/>
      <c r="P107" s="133"/>
    </row>
    <row r="108" spans="1:16" ht="30" customHeight="1">
      <c r="A108" s="251" t="s">
        <v>833</v>
      </c>
      <c r="B108" s="271">
        <f t="shared" si="9"/>
        <v>0</v>
      </c>
      <c r="C108" s="202">
        <f>D108+E108</f>
        <v>978</v>
      </c>
      <c r="D108" s="202">
        <v>791</v>
      </c>
      <c r="E108" s="202">
        <v>187</v>
      </c>
      <c r="F108" s="202">
        <f t="shared" si="8"/>
        <v>-978</v>
      </c>
      <c r="G108" s="133"/>
      <c r="H108" s="133">
        <v>-978</v>
      </c>
      <c r="I108" s="133"/>
      <c r="J108" s="133"/>
      <c r="K108" s="133"/>
      <c r="L108" s="133"/>
      <c r="M108" s="133"/>
      <c r="N108" s="133"/>
      <c r="O108" s="133"/>
      <c r="P108" s="133"/>
    </row>
    <row r="109" spans="1:16" ht="32.25" customHeight="1">
      <c r="A109" s="131" t="s">
        <v>77</v>
      </c>
      <c r="B109" s="264">
        <f t="shared" si="9"/>
        <v>20346</v>
      </c>
      <c r="C109" s="202"/>
      <c r="D109" s="202"/>
      <c r="E109" s="202"/>
      <c r="F109" s="202">
        <f t="shared" si="8"/>
        <v>20346</v>
      </c>
      <c r="G109" s="133"/>
      <c r="H109" s="133">
        <v>19346</v>
      </c>
      <c r="I109" s="133">
        <v>1000</v>
      </c>
      <c r="J109" s="133"/>
      <c r="K109" s="133"/>
      <c r="L109" s="133"/>
      <c r="M109" s="133"/>
      <c r="N109" s="133"/>
      <c r="O109" s="133"/>
      <c r="P109" s="133"/>
    </row>
    <row r="110" spans="1:16" ht="30" customHeight="1">
      <c r="A110" s="131" t="s">
        <v>226</v>
      </c>
      <c r="B110" s="264">
        <f t="shared" si="9"/>
        <v>31686</v>
      </c>
      <c r="C110" s="202">
        <f>D110+E110</f>
        <v>7507</v>
      </c>
      <c r="D110" s="202">
        <v>5880</v>
      </c>
      <c r="E110" s="202">
        <v>1627</v>
      </c>
      <c r="F110" s="202">
        <f t="shared" si="8"/>
        <v>24179</v>
      </c>
      <c r="G110" s="133"/>
      <c r="H110" s="133">
        <v>17009</v>
      </c>
      <c r="I110" s="133">
        <v>7170</v>
      </c>
      <c r="J110" s="133"/>
      <c r="K110" s="133"/>
      <c r="L110" s="133"/>
      <c r="M110" s="133"/>
      <c r="N110" s="133"/>
      <c r="O110" s="133"/>
      <c r="P110" s="133"/>
    </row>
    <row r="111" spans="1:16" ht="30" customHeight="1">
      <c r="A111" s="131" t="s">
        <v>78</v>
      </c>
      <c r="B111" s="264">
        <f t="shared" si="9"/>
        <v>29811</v>
      </c>
      <c r="C111" s="202">
        <f>D111+E111</f>
        <v>0</v>
      </c>
      <c r="D111" s="202"/>
      <c r="E111" s="202"/>
      <c r="F111" s="202">
        <f t="shared" si="8"/>
        <v>29811</v>
      </c>
      <c r="G111" s="133"/>
      <c r="H111" s="133">
        <v>25141</v>
      </c>
      <c r="I111" s="133">
        <v>4670</v>
      </c>
      <c r="J111" s="133"/>
      <c r="K111" s="133"/>
      <c r="L111" s="133"/>
      <c r="M111" s="133"/>
      <c r="N111" s="133"/>
      <c r="O111" s="133"/>
      <c r="P111" s="133"/>
    </row>
    <row r="112" spans="1:16" ht="30" customHeight="1">
      <c r="A112" s="131" t="s">
        <v>224</v>
      </c>
      <c r="B112" s="130">
        <f t="shared" si="9"/>
        <v>9793</v>
      </c>
      <c r="C112" s="202">
        <f>D112+E112</f>
        <v>0</v>
      </c>
      <c r="D112" s="202"/>
      <c r="E112" s="202"/>
      <c r="F112" s="202">
        <f t="shared" si="8"/>
        <v>9793</v>
      </c>
      <c r="G112" s="133"/>
      <c r="H112" s="133">
        <f>6793+H113</f>
        <v>5476</v>
      </c>
      <c r="I112" s="133">
        <f>3000+I113</f>
        <v>4317</v>
      </c>
      <c r="J112" s="133"/>
      <c r="K112" s="133"/>
      <c r="L112" s="133"/>
      <c r="M112" s="133"/>
      <c r="N112" s="133"/>
      <c r="O112" s="133"/>
      <c r="P112" s="133"/>
    </row>
    <row r="113" spans="1:16" ht="30" customHeight="1">
      <c r="A113" s="251" t="s">
        <v>833</v>
      </c>
      <c r="B113" s="230">
        <f t="shared" si="9"/>
        <v>0</v>
      </c>
      <c r="C113" s="202"/>
      <c r="D113" s="202"/>
      <c r="E113" s="202"/>
      <c r="F113" s="202">
        <f t="shared" si="8"/>
        <v>0</v>
      </c>
      <c r="G113" s="133"/>
      <c r="H113" s="133">
        <v>-1317</v>
      </c>
      <c r="I113" s="133">
        <v>1317</v>
      </c>
      <c r="J113" s="133"/>
      <c r="K113" s="133"/>
      <c r="L113" s="133"/>
      <c r="M113" s="133"/>
      <c r="N113" s="133"/>
      <c r="O113" s="133"/>
      <c r="P113" s="133"/>
    </row>
    <row r="114" spans="1:16" ht="34.5" customHeight="1">
      <c r="A114" s="129" t="s">
        <v>225</v>
      </c>
      <c r="B114" s="130">
        <f t="shared" si="9"/>
        <v>24565</v>
      </c>
      <c r="C114" s="202">
        <f>D114+E114</f>
        <v>2882</v>
      </c>
      <c r="D114" s="202">
        <f>4200+D115</f>
        <v>2260</v>
      </c>
      <c r="E114" s="202">
        <f>991+E115</f>
        <v>622</v>
      </c>
      <c r="F114" s="202">
        <f t="shared" si="8"/>
        <v>21683</v>
      </c>
      <c r="G114" s="133"/>
      <c r="H114" s="133">
        <f>12874+H115</f>
        <v>12889</v>
      </c>
      <c r="I114" s="133">
        <f>6500+I115</f>
        <v>8794</v>
      </c>
      <c r="J114" s="133"/>
      <c r="K114" s="133"/>
      <c r="L114" s="133"/>
      <c r="M114" s="133"/>
      <c r="N114" s="133"/>
      <c r="O114" s="133"/>
      <c r="P114" s="133"/>
    </row>
    <row r="115" spans="1:16" ht="30" customHeight="1">
      <c r="A115" s="251" t="s">
        <v>833</v>
      </c>
      <c r="B115" s="230">
        <f t="shared" si="9"/>
        <v>0</v>
      </c>
      <c r="C115" s="202">
        <f>D115+E115</f>
        <v>-2309</v>
      </c>
      <c r="D115" s="202">
        <v>-1940</v>
      </c>
      <c r="E115" s="202">
        <v>-369</v>
      </c>
      <c r="F115" s="202">
        <f t="shared" si="8"/>
        <v>2309</v>
      </c>
      <c r="G115" s="133"/>
      <c r="H115" s="133">
        <v>15</v>
      </c>
      <c r="I115" s="133">
        <v>2294</v>
      </c>
      <c r="J115" s="133"/>
      <c r="K115" s="133"/>
      <c r="L115" s="133"/>
      <c r="M115" s="133"/>
      <c r="N115" s="133"/>
      <c r="O115" s="133"/>
      <c r="P115" s="133"/>
    </row>
    <row r="116" spans="1:16" ht="36.75" customHeight="1">
      <c r="A116" s="134" t="s">
        <v>730</v>
      </c>
      <c r="B116" s="130">
        <f>SUM(C116:F116,L116:P116)</f>
        <v>298886</v>
      </c>
      <c r="C116" s="202"/>
      <c r="D116" s="202"/>
      <c r="E116" s="202"/>
      <c r="F116" s="202">
        <f>SUM(G116:K116)</f>
        <v>298886</v>
      </c>
      <c r="G116" s="133"/>
      <c r="H116" s="133">
        <v>298886</v>
      </c>
      <c r="I116" s="133"/>
      <c r="J116" s="133"/>
      <c r="K116" s="133"/>
      <c r="L116" s="133"/>
      <c r="M116" s="133"/>
      <c r="N116" s="133"/>
      <c r="O116" s="133"/>
      <c r="P116" s="133"/>
    </row>
    <row r="117" spans="1:16" ht="20.25" customHeight="1">
      <c r="A117" s="129" t="s">
        <v>138</v>
      </c>
      <c r="B117" s="130">
        <f>SUM(C117+F117,L117:P117)</f>
        <v>70475</v>
      </c>
      <c r="C117" s="202">
        <f>D117+E117</f>
        <v>1483</v>
      </c>
      <c r="D117" s="202">
        <v>1200</v>
      </c>
      <c r="E117" s="202">
        <v>283</v>
      </c>
      <c r="F117" s="202">
        <f>SUM(G117:K117)</f>
        <v>2360</v>
      </c>
      <c r="G117" s="133"/>
      <c r="H117" s="133">
        <v>2360</v>
      </c>
      <c r="I117" s="133"/>
      <c r="J117" s="133"/>
      <c r="K117" s="133"/>
      <c r="L117" s="133"/>
      <c r="M117" s="133"/>
      <c r="N117" s="133"/>
      <c r="O117" s="133">
        <v>57000</v>
      </c>
      <c r="P117" s="133">
        <v>9632</v>
      </c>
    </row>
    <row r="118" spans="1:16" ht="19.5" customHeight="1">
      <c r="A118" s="129" t="s">
        <v>139</v>
      </c>
      <c r="B118" s="130">
        <f t="shared" si="10" ref="B118:B124">SUM(C118+F118,L118:P118)</f>
        <v>18664</v>
      </c>
      <c r="C118" s="202">
        <f>D118+E118</f>
        <v>14640</v>
      </c>
      <c r="D118" s="202">
        <v>11830</v>
      </c>
      <c r="E118" s="202">
        <v>2810</v>
      </c>
      <c r="F118" s="202">
        <f t="shared" si="8"/>
        <v>4024</v>
      </c>
      <c r="G118" s="133"/>
      <c r="H118" s="133">
        <v>3444</v>
      </c>
      <c r="I118" s="133">
        <v>580</v>
      </c>
      <c r="J118" s="133"/>
      <c r="K118" s="133"/>
      <c r="L118" s="133"/>
      <c r="M118" s="133"/>
      <c r="N118" s="133"/>
      <c r="O118" s="133"/>
      <c r="P118" s="133"/>
    </row>
    <row r="119" spans="1:16" ht="45" customHeight="1">
      <c r="A119" s="134" t="s">
        <v>251</v>
      </c>
      <c r="B119" s="130">
        <f t="shared" si="10"/>
        <v>187419</v>
      </c>
      <c r="C119" s="202"/>
      <c r="D119" s="202"/>
      <c r="E119" s="202"/>
      <c r="F119" s="202">
        <f t="shared" si="8"/>
        <v>0</v>
      </c>
      <c r="G119" s="133"/>
      <c r="H119" s="133"/>
      <c r="I119" s="133"/>
      <c r="J119" s="133"/>
      <c r="K119" s="133"/>
      <c r="L119" s="133"/>
      <c r="M119" s="133"/>
      <c r="N119" s="133">
        <v>187419</v>
      </c>
      <c r="O119" s="133"/>
      <c r="P119" s="133"/>
    </row>
    <row r="120" spans="1:16" ht="45" customHeight="1">
      <c r="A120" s="134" t="s">
        <v>79</v>
      </c>
      <c r="B120" s="130">
        <f>SUM(C120+F120,L120:P120)</f>
        <v>66093</v>
      </c>
      <c r="C120" s="202"/>
      <c r="D120" s="202"/>
      <c r="E120" s="202"/>
      <c r="F120" s="202">
        <f t="shared" si="8"/>
        <v>58530</v>
      </c>
      <c r="G120" s="133"/>
      <c r="H120" s="133">
        <f>66093-7563</f>
        <v>58530</v>
      </c>
      <c r="I120" s="133"/>
      <c r="J120" s="133"/>
      <c r="K120" s="133"/>
      <c r="L120" s="133"/>
      <c r="M120" s="133"/>
      <c r="N120" s="133">
        <v>7563</v>
      </c>
      <c r="O120" s="133"/>
      <c r="P120" s="133"/>
    </row>
    <row r="121" spans="1:16" ht="33.75" customHeight="1">
      <c r="A121" s="131" t="s">
        <v>331</v>
      </c>
      <c r="B121" s="130">
        <f>SUM(C121+F121,L121:P121)</f>
        <v>7212</v>
      </c>
      <c r="C121" s="202"/>
      <c r="D121" s="202"/>
      <c r="E121" s="202"/>
      <c r="F121" s="202">
        <f>SUM(G121:K121)</f>
        <v>4610</v>
      </c>
      <c r="G121" s="133"/>
      <c r="H121" s="133">
        <f>4682+H122</f>
        <v>4182</v>
      </c>
      <c r="I121" s="133">
        <f>2880+I122</f>
        <v>278</v>
      </c>
      <c r="J121" s="133"/>
      <c r="K121" s="133">
        <v>150</v>
      </c>
      <c r="L121" s="133"/>
      <c r="M121" s="133"/>
      <c r="N121" s="133">
        <f>N122</f>
        <v>2602</v>
      </c>
      <c r="O121" s="133"/>
      <c r="P121" s="133"/>
    </row>
    <row r="122" spans="1:16" ht="30" customHeight="1">
      <c r="A122" s="251" t="s">
        <v>833</v>
      </c>
      <c r="B122" s="130">
        <f>SUM(C122+F122,L122:P122)</f>
        <v>-500</v>
      </c>
      <c r="C122" s="202"/>
      <c r="D122" s="202"/>
      <c r="E122" s="202"/>
      <c r="F122" s="202">
        <f>SUM(G122:K122)</f>
        <v>-3102</v>
      </c>
      <c r="G122" s="133"/>
      <c r="H122" s="133">
        <f>-365+(-135)</f>
        <v>-500</v>
      </c>
      <c r="I122" s="133">
        <v>-2602</v>
      </c>
      <c r="J122" s="133"/>
      <c r="K122" s="133"/>
      <c r="L122" s="133"/>
      <c r="M122" s="133"/>
      <c r="N122" s="133">
        <v>2602</v>
      </c>
      <c r="O122" s="133"/>
      <c r="P122" s="133"/>
    </row>
    <row r="123" spans="1:16" ht="36.75" customHeight="1">
      <c r="A123" s="132" t="s">
        <v>727</v>
      </c>
      <c r="B123" s="130">
        <f t="shared" si="10"/>
        <v>2223</v>
      </c>
      <c r="C123" s="202"/>
      <c r="D123" s="202"/>
      <c r="E123" s="202"/>
      <c r="F123" s="202">
        <f t="shared" si="11" ref="F123:F146">SUM(G123:K123)</f>
        <v>2223</v>
      </c>
      <c r="G123" s="133"/>
      <c r="H123" s="133">
        <f>2245+H124</f>
        <v>2081</v>
      </c>
      <c r="I123" s="133">
        <f>300+I124</f>
        <v>122</v>
      </c>
      <c r="J123" s="133"/>
      <c r="K123" s="133">
        <f>300+K124</f>
        <v>20</v>
      </c>
      <c r="L123" s="133"/>
      <c r="M123" s="133"/>
      <c r="N123" s="133"/>
      <c r="O123" s="133"/>
      <c r="P123" s="133"/>
    </row>
    <row r="124" spans="1:16" ht="30" customHeight="1">
      <c r="A124" s="251" t="s">
        <v>833</v>
      </c>
      <c r="B124" s="130">
        <f t="shared" si="10"/>
        <v>-622</v>
      </c>
      <c r="C124" s="202"/>
      <c r="D124" s="202"/>
      <c r="E124" s="202"/>
      <c r="F124" s="202">
        <f t="shared" si="11"/>
        <v>-622</v>
      </c>
      <c r="G124" s="133"/>
      <c r="H124" s="133">
        <f>151+(-315)</f>
        <v>-164</v>
      </c>
      <c r="I124" s="133">
        <v>-178</v>
      </c>
      <c r="J124" s="133"/>
      <c r="K124" s="133">
        <v>-280</v>
      </c>
      <c r="L124" s="133"/>
      <c r="M124" s="133"/>
      <c r="N124" s="133"/>
      <c r="O124" s="133"/>
      <c r="P124" s="133"/>
    </row>
    <row r="125" spans="1:16" ht="35.25" customHeight="1">
      <c r="A125" s="132" t="s">
        <v>253</v>
      </c>
      <c r="B125" s="130">
        <f>SUM(C125:F125,L125:P125)</f>
        <v>4292</v>
      </c>
      <c r="C125" s="202"/>
      <c r="D125" s="202"/>
      <c r="E125" s="202"/>
      <c r="F125" s="202">
        <f>SUM(G125:K125)</f>
        <v>4292</v>
      </c>
      <c r="G125" s="133"/>
      <c r="H125" s="133">
        <f>3900+52</f>
        <v>3952</v>
      </c>
      <c r="I125" s="133">
        <f>330-52</f>
        <v>278</v>
      </c>
      <c r="J125" s="133"/>
      <c r="K125" s="133">
        <v>62</v>
      </c>
      <c r="L125" s="133"/>
      <c r="M125" s="133"/>
      <c r="N125" s="133"/>
      <c r="O125" s="133"/>
      <c r="P125" s="133"/>
    </row>
    <row r="126" spans="1:16" ht="35.25" customHeight="1">
      <c r="A126" s="132" t="s">
        <v>724</v>
      </c>
      <c r="B126" s="130">
        <f>SUM(C126+F126,L126:P126)</f>
        <v>4259</v>
      </c>
      <c r="C126" s="202"/>
      <c r="D126" s="202"/>
      <c r="E126" s="202"/>
      <c r="F126" s="202">
        <f t="shared" si="11"/>
        <v>4259</v>
      </c>
      <c r="G126" s="133"/>
      <c r="H126" s="133">
        <f>4139+H127</f>
        <v>4115</v>
      </c>
      <c r="I126" s="133">
        <f>120+I127</f>
        <v>120</v>
      </c>
      <c r="J126" s="133"/>
      <c r="K126" s="133">
        <f>K127</f>
        <v>24</v>
      </c>
      <c r="L126" s="133"/>
      <c r="M126" s="133"/>
      <c r="N126" s="133"/>
      <c r="O126" s="133"/>
      <c r="P126" s="133"/>
    </row>
    <row r="127" spans="1:16" ht="30" customHeight="1">
      <c r="A127" s="251" t="s">
        <v>833</v>
      </c>
      <c r="B127" s="230">
        <f>SUM(C127+F127,L127:P127)</f>
        <v>0</v>
      </c>
      <c r="C127" s="202"/>
      <c r="D127" s="202"/>
      <c r="E127" s="202"/>
      <c r="F127" s="202">
        <f t="shared" si="11"/>
        <v>0</v>
      </c>
      <c r="G127" s="133"/>
      <c r="H127" s="133">
        <v>-24</v>
      </c>
      <c r="I127" s="133"/>
      <c r="J127" s="133"/>
      <c r="K127" s="133">
        <v>24</v>
      </c>
      <c r="L127" s="133"/>
      <c r="M127" s="133"/>
      <c r="N127" s="133"/>
      <c r="O127" s="133"/>
      <c r="P127" s="133"/>
    </row>
    <row r="128" spans="1:16" ht="32.25" customHeight="1">
      <c r="A128" s="132" t="s">
        <v>245</v>
      </c>
      <c r="B128" s="130">
        <f>SUM(C128:F128,L128:P128)</f>
        <v>3668</v>
      </c>
      <c r="C128" s="202"/>
      <c r="D128" s="202"/>
      <c r="E128" s="202"/>
      <c r="F128" s="202">
        <f>SUM(G128:K128)</f>
        <v>3668</v>
      </c>
      <c r="G128" s="133"/>
      <c r="H128" s="133">
        <v>2969</v>
      </c>
      <c r="I128" s="133">
        <f>450+51</f>
        <v>501</v>
      </c>
      <c r="J128" s="133"/>
      <c r="K128" s="133">
        <f>249-51</f>
        <v>198</v>
      </c>
      <c r="L128" s="133"/>
      <c r="M128" s="133"/>
      <c r="N128" s="133"/>
      <c r="O128" s="133"/>
      <c r="P128" s="133"/>
    </row>
    <row r="129" spans="1:16" ht="30" customHeight="1">
      <c r="A129" s="134" t="s">
        <v>248</v>
      </c>
      <c r="B129" s="130">
        <f>SUM(C129+F129,L129:P129)</f>
        <v>6752</v>
      </c>
      <c r="C129" s="202"/>
      <c r="D129" s="202"/>
      <c r="E129" s="202"/>
      <c r="F129" s="202">
        <f t="shared" si="11"/>
        <v>6752</v>
      </c>
      <c r="G129" s="133"/>
      <c r="H129" s="133">
        <v>6587</v>
      </c>
      <c r="I129" s="133">
        <v>120</v>
      </c>
      <c r="J129" s="133"/>
      <c r="K129" s="133">
        <v>45</v>
      </c>
      <c r="L129" s="133"/>
      <c r="M129" s="133"/>
      <c r="N129" s="133"/>
      <c r="O129" s="133"/>
      <c r="P129" s="133"/>
    </row>
    <row r="130" spans="1:16" ht="30" customHeight="1">
      <c r="A130" s="134" t="s">
        <v>144</v>
      </c>
      <c r="B130" s="130">
        <f>SUM(C130+F130,L130:P130)</f>
        <v>4700</v>
      </c>
      <c r="C130" s="202"/>
      <c r="D130" s="202"/>
      <c r="E130" s="202"/>
      <c r="F130" s="202">
        <f t="shared" si="11"/>
        <v>4700</v>
      </c>
      <c r="G130" s="133"/>
      <c r="H130" s="133">
        <v>4300</v>
      </c>
      <c r="I130" s="133">
        <v>310</v>
      </c>
      <c r="J130" s="133"/>
      <c r="K130" s="133">
        <v>90</v>
      </c>
      <c r="L130" s="133"/>
      <c r="M130" s="133"/>
      <c r="N130" s="133"/>
      <c r="O130" s="133"/>
      <c r="P130" s="133"/>
    </row>
    <row r="131" spans="1:16" ht="32.25" customHeight="1">
      <c r="A131" s="131" t="s">
        <v>332</v>
      </c>
      <c r="B131" s="130">
        <f>SUM(C131+F131,L131:P131)</f>
        <v>8550</v>
      </c>
      <c r="C131" s="202"/>
      <c r="D131" s="202"/>
      <c r="E131" s="202"/>
      <c r="F131" s="202">
        <f t="shared" si="11"/>
        <v>8550</v>
      </c>
      <c r="G131" s="133"/>
      <c r="H131" s="133">
        <f>7350+252</f>
        <v>7602</v>
      </c>
      <c r="I131" s="133">
        <f>1200-200-252</f>
        <v>748</v>
      </c>
      <c r="J131" s="133"/>
      <c r="K131" s="133">
        <v>200</v>
      </c>
      <c r="L131" s="133"/>
      <c r="M131" s="133"/>
      <c r="N131" s="133"/>
      <c r="O131" s="133"/>
      <c r="P131" s="133"/>
    </row>
    <row r="132" spans="1:16" ht="30" customHeight="1">
      <c r="A132" s="129" t="s">
        <v>722</v>
      </c>
      <c r="B132" s="130">
        <f>SUM(C132+F132,L132:P132)</f>
        <v>3002</v>
      </c>
      <c r="C132" s="202"/>
      <c r="D132" s="202"/>
      <c r="E132" s="202"/>
      <c r="F132" s="202">
        <f t="shared" si="11"/>
        <v>3002</v>
      </c>
      <c r="G132" s="133"/>
      <c r="H132" s="133">
        <v>2810</v>
      </c>
      <c r="I132" s="133">
        <v>142</v>
      </c>
      <c r="J132" s="133"/>
      <c r="K132" s="133">
        <v>50</v>
      </c>
      <c r="L132" s="133"/>
      <c r="M132" s="133"/>
      <c r="N132" s="133"/>
      <c r="O132" s="133"/>
      <c r="P132" s="133"/>
    </row>
    <row r="133" spans="1:16" ht="30" customHeight="1">
      <c r="A133" s="134" t="s">
        <v>141</v>
      </c>
      <c r="B133" s="130">
        <f>SUM(C133:F133,L133:P133)</f>
        <v>10086</v>
      </c>
      <c r="C133" s="202"/>
      <c r="D133" s="202"/>
      <c r="E133" s="202"/>
      <c r="F133" s="202">
        <f t="shared" si="11"/>
        <v>10086</v>
      </c>
      <c r="G133" s="133"/>
      <c r="H133" s="133">
        <v>9576</v>
      </c>
      <c r="I133" s="133">
        <v>410</v>
      </c>
      <c r="J133" s="133"/>
      <c r="K133" s="133">
        <v>100</v>
      </c>
      <c r="L133" s="133"/>
      <c r="M133" s="133"/>
      <c r="N133" s="133"/>
      <c r="O133" s="133"/>
      <c r="P133" s="133"/>
    </row>
    <row r="134" spans="1:16" ht="30" customHeight="1">
      <c r="A134" s="134" t="s">
        <v>143</v>
      </c>
      <c r="B134" s="130">
        <f t="shared" si="12" ref="B134:B144">SUM(C134+F134,L134:P134)</f>
        <v>1010</v>
      </c>
      <c r="C134" s="202"/>
      <c r="D134" s="202"/>
      <c r="E134" s="202"/>
      <c r="F134" s="202">
        <f t="shared" si="11"/>
        <v>1010</v>
      </c>
      <c r="G134" s="133"/>
      <c r="H134" s="133">
        <v>210</v>
      </c>
      <c r="I134" s="133">
        <v>780</v>
      </c>
      <c r="J134" s="133"/>
      <c r="K134" s="133">
        <v>20</v>
      </c>
      <c r="L134" s="133"/>
      <c r="M134" s="133"/>
      <c r="N134" s="133"/>
      <c r="O134" s="133"/>
      <c r="P134" s="133"/>
    </row>
    <row r="135" spans="1:16" ht="35.25" customHeight="1">
      <c r="A135" s="129" t="s">
        <v>330</v>
      </c>
      <c r="B135" s="130">
        <f>SUM(C135+F135,L135:P135)</f>
        <v>8710</v>
      </c>
      <c r="C135" s="202"/>
      <c r="D135" s="202"/>
      <c r="E135" s="202"/>
      <c r="F135" s="202">
        <f>SUM(G135:K135)</f>
        <v>8710</v>
      </c>
      <c r="G135" s="133"/>
      <c r="H135" s="133">
        <f>8010-335</f>
        <v>7675</v>
      </c>
      <c r="I135" s="133">
        <f>700-61+335+I136</f>
        <v>944</v>
      </c>
      <c r="J135" s="133"/>
      <c r="K135" s="133">
        <f>61+K136</f>
        <v>91</v>
      </c>
      <c r="L135" s="133"/>
      <c r="M135" s="133">
        <f>61+(-61)</f>
        <v>0</v>
      </c>
      <c r="N135" s="133"/>
      <c r="O135" s="133"/>
      <c r="P135" s="133"/>
    </row>
    <row r="136" spans="1:16" ht="30" customHeight="1">
      <c r="A136" s="250" t="s">
        <v>833</v>
      </c>
      <c r="B136" s="130">
        <f>SUM(C136+F136,L136:P136)</f>
        <v>0</v>
      </c>
      <c r="C136" s="202"/>
      <c r="D136" s="202"/>
      <c r="E136" s="202"/>
      <c r="F136" s="202">
        <f>SUM(G136:K136)</f>
        <v>0</v>
      </c>
      <c r="G136" s="133"/>
      <c r="H136" s="133"/>
      <c r="I136" s="133">
        <v>-30</v>
      </c>
      <c r="J136" s="133"/>
      <c r="K136" s="133">
        <v>30</v>
      </c>
      <c r="L136" s="133"/>
      <c r="M136" s="133"/>
      <c r="N136" s="133"/>
      <c r="O136" s="133"/>
      <c r="P136" s="133"/>
    </row>
    <row r="137" spans="1:16" ht="33" customHeight="1">
      <c r="A137" s="132" t="s">
        <v>255</v>
      </c>
      <c r="B137" s="130">
        <f>SUM(C137+F137,L137:P137)</f>
        <v>8656</v>
      </c>
      <c r="C137" s="202"/>
      <c r="D137" s="202"/>
      <c r="E137" s="202"/>
      <c r="F137" s="202">
        <f t="shared" si="11"/>
        <v>7154</v>
      </c>
      <c r="G137" s="133"/>
      <c r="H137" s="133">
        <f>10305-1502+H138</f>
        <v>6803</v>
      </c>
      <c r="I137" s="133">
        <f>226+I138</f>
        <v>33</v>
      </c>
      <c r="J137" s="133"/>
      <c r="K137" s="133">
        <f>125+K138</f>
        <v>318</v>
      </c>
      <c r="L137" s="133"/>
      <c r="M137" s="133"/>
      <c r="N137" s="133">
        <v>1502</v>
      </c>
      <c r="O137" s="133"/>
      <c r="P137" s="133"/>
    </row>
    <row r="138" spans="1:16" ht="30" customHeight="1">
      <c r="A138" s="251" t="s">
        <v>833</v>
      </c>
      <c r="B138" s="130">
        <f>SUM(C138+F138,L138:P138)</f>
        <v>-2000</v>
      </c>
      <c r="C138" s="202"/>
      <c r="D138" s="202"/>
      <c r="E138" s="202"/>
      <c r="F138" s="202">
        <f t="shared" si="11"/>
        <v>-2000</v>
      </c>
      <c r="G138" s="133"/>
      <c r="H138" s="133">
        <v>-2000</v>
      </c>
      <c r="I138" s="133">
        <v>-193</v>
      </c>
      <c r="J138" s="133"/>
      <c r="K138" s="133">
        <v>193</v>
      </c>
      <c r="L138" s="133"/>
      <c r="M138" s="133"/>
      <c r="N138" s="133"/>
      <c r="O138" s="133"/>
      <c r="P138" s="133"/>
    </row>
    <row r="139" spans="1:16" ht="32.25" customHeight="1">
      <c r="A139" s="134" t="s">
        <v>142</v>
      </c>
      <c r="B139" s="130">
        <f t="shared" si="12"/>
        <v>720</v>
      </c>
      <c r="C139" s="202"/>
      <c r="D139" s="202"/>
      <c r="E139" s="202"/>
      <c r="F139" s="202">
        <f t="shared" si="11"/>
        <v>720</v>
      </c>
      <c r="G139" s="133"/>
      <c r="H139" s="133">
        <v>500</v>
      </c>
      <c r="I139" s="133">
        <v>200</v>
      </c>
      <c r="J139" s="133"/>
      <c r="K139" s="133">
        <v>20</v>
      </c>
      <c r="L139" s="133"/>
      <c r="M139" s="133"/>
      <c r="N139" s="133"/>
      <c r="O139" s="133"/>
      <c r="P139" s="133"/>
    </row>
    <row r="140" spans="1:16" ht="33.75" customHeight="1">
      <c r="A140" s="134" t="s">
        <v>145</v>
      </c>
      <c r="B140" s="130">
        <f t="shared" si="12"/>
        <v>3508</v>
      </c>
      <c r="C140" s="202"/>
      <c r="D140" s="202"/>
      <c r="E140" s="202"/>
      <c r="F140" s="202">
        <f t="shared" si="11"/>
        <v>3508</v>
      </c>
      <c r="G140" s="133"/>
      <c r="H140" s="133">
        <v>2548</v>
      </c>
      <c r="I140" s="133">
        <v>840</v>
      </c>
      <c r="J140" s="133"/>
      <c r="K140" s="133">
        <v>120</v>
      </c>
      <c r="L140" s="133"/>
      <c r="M140" s="133"/>
      <c r="N140" s="133"/>
      <c r="O140" s="133"/>
      <c r="P140" s="133"/>
    </row>
    <row r="141" spans="1:16" ht="37.5" customHeight="1">
      <c r="A141" s="134" t="s">
        <v>215</v>
      </c>
      <c r="B141" s="130">
        <f t="shared" si="12"/>
        <v>27064</v>
      </c>
      <c r="C141" s="202"/>
      <c r="D141" s="202"/>
      <c r="E141" s="202"/>
      <c r="F141" s="202">
        <f t="shared" si="11"/>
        <v>27064</v>
      </c>
      <c r="G141" s="133"/>
      <c r="H141" s="133">
        <f>16267+H142</f>
        <v>23260</v>
      </c>
      <c r="I141" s="133">
        <f>1762+I142</f>
        <v>3564</v>
      </c>
      <c r="J141" s="133"/>
      <c r="K141" s="133">
        <v>240</v>
      </c>
      <c r="L141" s="133"/>
      <c r="M141" s="133"/>
      <c r="N141" s="133"/>
      <c r="O141" s="133"/>
      <c r="P141" s="133"/>
    </row>
    <row r="142" spans="1:16" ht="37.5" customHeight="1">
      <c r="A142" s="251" t="s">
        <v>833</v>
      </c>
      <c r="B142" s="230">
        <f t="shared" si="12"/>
        <v>8795</v>
      </c>
      <c r="C142" s="202"/>
      <c r="D142" s="202"/>
      <c r="E142" s="202"/>
      <c r="F142" s="202">
        <f t="shared" si="11"/>
        <v>8795</v>
      </c>
      <c r="G142" s="133"/>
      <c r="H142" s="133">
        <v>6993</v>
      </c>
      <c r="I142" s="133">
        <v>1802</v>
      </c>
      <c r="J142" s="133"/>
      <c r="K142" s="133"/>
      <c r="L142" s="133"/>
      <c r="M142" s="133"/>
      <c r="N142" s="133"/>
      <c r="O142" s="133"/>
      <c r="P142" s="133"/>
    </row>
    <row r="143" spans="1:16" ht="30" customHeight="1">
      <c r="A143" s="134" t="s">
        <v>725</v>
      </c>
      <c r="B143" s="130">
        <f t="shared" si="12"/>
        <v>6665</v>
      </c>
      <c r="C143" s="202"/>
      <c r="D143" s="202"/>
      <c r="E143" s="202"/>
      <c r="F143" s="202">
        <f t="shared" si="11"/>
        <v>6665</v>
      </c>
      <c r="G143" s="133"/>
      <c r="H143" s="133">
        <v>6315</v>
      </c>
      <c r="I143" s="133"/>
      <c r="J143" s="133"/>
      <c r="K143" s="133">
        <v>350</v>
      </c>
      <c r="L143" s="133"/>
      <c r="M143" s="133"/>
      <c r="N143" s="133"/>
      <c r="O143" s="133"/>
      <c r="P143" s="133"/>
    </row>
    <row r="144" spans="1:16" ht="30" customHeight="1">
      <c r="A144" s="134" t="s">
        <v>146</v>
      </c>
      <c r="B144" s="130">
        <f t="shared" si="12"/>
        <v>8361</v>
      </c>
      <c r="C144" s="202"/>
      <c r="D144" s="202"/>
      <c r="E144" s="202"/>
      <c r="F144" s="202">
        <f t="shared" si="11"/>
        <v>8361</v>
      </c>
      <c r="G144" s="133"/>
      <c r="H144" s="133">
        <v>6994</v>
      </c>
      <c r="I144" s="133">
        <v>821</v>
      </c>
      <c r="J144" s="133"/>
      <c r="K144" s="133">
        <v>546</v>
      </c>
      <c r="L144" s="133"/>
      <c r="M144" s="133"/>
      <c r="N144" s="133"/>
      <c r="O144" s="133"/>
      <c r="P144" s="133"/>
    </row>
    <row r="145" spans="1:16" ht="46.5" customHeight="1">
      <c r="A145" s="134" t="s">
        <v>140</v>
      </c>
      <c r="B145" s="130">
        <f>SUM(C145:F145,L145:P145)</f>
        <v>5304</v>
      </c>
      <c r="C145" s="202"/>
      <c r="D145" s="202"/>
      <c r="E145" s="202"/>
      <c r="F145" s="202">
        <f t="shared" si="11"/>
        <v>5304</v>
      </c>
      <c r="G145" s="133"/>
      <c r="H145" s="133">
        <f>3510+H146</f>
        <v>5304</v>
      </c>
      <c r="I145" s="133"/>
      <c r="J145" s="133"/>
      <c r="K145" s="133"/>
      <c r="L145" s="133"/>
      <c r="M145" s="133"/>
      <c r="N145" s="133"/>
      <c r="O145" s="133"/>
      <c r="P145" s="133"/>
    </row>
    <row r="146" spans="1:16" ht="46.5" customHeight="1">
      <c r="A146" s="251" t="s">
        <v>833</v>
      </c>
      <c r="B146" s="230">
        <f>SUM(C146:F146,L146:P146)</f>
        <v>1794</v>
      </c>
      <c r="C146" s="202"/>
      <c r="D146" s="202"/>
      <c r="E146" s="202"/>
      <c r="F146" s="202">
        <f t="shared" si="11"/>
        <v>1794</v>
      </c>
      <c r="G146" s="133"/>
      <c r="H146" s="133">
        <v>1794</v>
      </c>
      <c r="I146" s="133"/>
      <c r="J146" s="133"/>
      <c r="K146" s="133"/>
      <c r="L146" s="133"/>
      <c r="M146" s="133"/>
      <c r="N146" s="133"/>
      <c r="O146" s="133"/>
      <c r="P146" s="133"/>
    </row>
    <row r="147" spans="1:16" ht="24.75" customHeight="1">
      <c r="A147" s="134" t="s">
        <v>19</v>
      </c>
      <c r="B147" s="230">
        <f t="shared" si="13" ref="B147:B154">SUM(C147+F147,L147:P147)</f>
        <v>89842</v>
      </c>
      <c r="C147" s="202"/>
      <c r="D147" s="202"/>
      <c r="E147" s="202"/>
      <c r="F147" s="202">
        <f>SUM(G147:K147)</f>
        <v>89842</v>
      </c>
      <c r="G147" s="133"/>
      <c r="H147" s="133">
        <f>119842+H148</f>
        <v>89842</v>
      </c>
      <c r="I147" s="133"/>
      <c r="J147" s="133"/>
      <c r="K147" s="133"/>
      <c r="L147" s="133"/>
      <c r="M147" s="133"/>
      <c r="N147" s="133"/>
      <c r="O147" s="133"/>
      <c r="P147" s="133"/>
    </row>
    <row r="148" spans="1:16" ht="24.75" customHeight="1">
      <c r="A148" s="251" t="s">
        <v>833</v>
      </c>
      <c r="B148" s="230">
        <f t="shared" si="13"/>
        <v>-30000</v>
      </c>
      <c r="C148" s="202"/>
      <c r="D148" s="202"/>
      <c r="E148" s="202"/>
      <c r="F148" s="202">
        <f>SUM(G148:K148)</f>
        <v>-30000</v>
      </c>
      <c r="G148" s="133"/>
      <c r="H148" s="133">
        <v>-30000</v>
      </c>
      <c r="I148" s="133"/>
      <c r="J148" s="133"/>
      <c r="K148" s="133"/>
      <c r="L148" s="133"/>
      <c r="M148" s="133"/>
      <c r="N148" s="133"/>
      <c r="O148" s="133"/>
      <c r="P148" s="133"/>
    </row>
    <row r="149" spans="1:16" ht="24" customHeight="1">
      <c r="A149" s="134" t="s">
        <v>189</v>
      </c>
      <c r="B149" s="130">
        <f t="shared" si="13"/>
        <v>95682</v>
      </c>
      <c r="C149" s="202"/>
      <c r="D149" s="202"/>
      <c r="E149" s="202"/>
      <c r="F149" s="202">
        <f>SUM(G149:K149)</f>
        <v>95682</v>
      </c>
      <c r="G149" s="133"/>
      <c r="H149" s="133">
        <v>90682</v>
      </c>
      <c r="I149" s="133"/>
      <c r="J149" s="133"/>
      <c r="K149" s="133">
        <v>5000</v>
      </c>
      <c r="L149" s="133"/>
      <c r="M149" s="133"/>
      <c r="N149" s="133"/>
      <c r="O149" s="133"/>
      <c r="P149" s="133"/>
    </row>
    <row r="150" spans="1:16" ht="27" customHeight="1">
      <c r="A150" s="132" t="s">
        <v>193</v>
      </c>
      <c r="B150" s="130">
        <f t="shared" si="13"/>
        <v>58549</v>
      </c>
      <c r="C150" s="202"/>
      <c r="D150" s="202"/>
      <c r="E150" s="202"/>
      <c r="F150" s="202">
        <f>SUM(G150:K150)</f>
        <v>27549</v>
      </c>
      <c r="G150" s="133"/>
      <c r="H150" s="133">
        <f>27549</f>
        <v>27549</v>
      </c>
      <c r="I150" s="133"/>
      <c r="J150" s="133"/>
      <c r="K150" s="133"/>
      <c r="L150" s="133"/>
      <c r="M150" s="133"/>
      <c r="N150" s="133"/>
      <c r="O150" s="133">
        <v>31000</v>
      </c>
      <c r="P150" s="133"/>
    </row>
    <row r="151" spans="1:16" ht="30" customHeight="1">
      <c r="A151" s="132" t="s">
        <v>20</v>
      </c>
      <c r="B151" s="130">
        <f t="shared" si="13"/>
        <v>37351</v>
      </c>
      <c r="C151" s="133">
        <f>D151+E151</f>
        <v>32425</v>
      </c>
      <c r="D151" s="202">
        <f>20140-1861+D152</f>
        <v>23235</v>
      </c>
      <c r="E151" s="202">
        <f>4750+1861+E152</f>
        <v>9190</v>
      </c>
      <c r="F151" s="202">
        <f t="shared" si="14" ref="F151:F182">SUM(G151:K151)</f>
        <v>4926</v>
      </c>
      <c r="G151" s="133"/>
      <c r="H151" s="133">
        <f>2290+H152</f>
        <v>2272</v>
      </c>
      <c r="I151" s="133">
        <f>2370+I152</f>
        <v>2654</v>
      </c>
      <c r="J151" s="133"/>
      <c r="K151" s="133"/>
      <c r="L151" s="133"/>
      <c r="M151" s="133"/>
      <c r="N151" s="133"/>
      <c r="O151" s="133"/>
      <c r="P151" s="133"/>
    </row>
    <row r="152" spans="1:16" ht="30" customHeight="1">
      <c r="A152" s="251" t="s">
        <v>833</v>
      </c>
      <c r="B152" s="230">
        <f t="shared" si="13"/>
        <v>7801</v>
      </c>
      <c r="C152" s="133">
        <f t="shared" si="15" ref="C152:C172">D152+E152</f>
        <v>7535</v>
      </c>
      <c r="D152" s="202">
        <v>4956</v>
      </c>
      <c r="E152" s="202">
        <v>2579</v>
      </c>
      <c r="F152" s="202">
        <f t="shared" si="14"/>
        <v>266</v>
      </c>
      <c r="G152" s="133"/>
      <c r="H152" s="133">
        <f>-284+266</f>
        <v>-18</v>
      </c>
      <c r="I152" s="133">
        <v>284</v>
      </c>
      <c r="J152" s="133"/>
      <c r="K152" s="133"/>
      <c r="L152" s="133"/>
      <c r="M152" s="133"/>
      <c r="N152" s="133"/>
      <c r="O152" s="133"/>
      <c r="P152" s="133"/>
    </row>
    <row r="153" spans="1:16" ht="30" customHeight="1">
      <c r="A153" s="132" t="s">
        <v>284</v>
      </c>
      <c r="B153" s="130">
        <f t="shared" si="13"/>
        <v>87711</v>
      </c>
      <c r="C153" s="202">
        <f t="shared" si="15"/>
        <v>60220</v>
      </c>
      <c r="D153" s="202">
        <f>36877-907+D154</f>
        <v>47524</v>
      </c>
      <c r="E153" s="202">
        <f>7782+907+E154</f>
        <v>12696</v>
      </c>
      <c r="F153" s="202">
        <f t="shared" si="14"/>
        <v>27491</v>
      </c>
      <c r="G153" s="133"/>
      <c r="H153" s="133">
        <f>7625+H154</f>
        <v>5625</v>
      </c>
      <c r="I153" s="133">
        <f>22580+I154</f>
        <v>21866</v>
      </c>
      <c r="J153" s="133"/>
      <c r="K153" s="133">
        <f>460+K154</f>
        <v>0</v>
      </c>
      <c r="L153" s="133"/>
      <c r="M153" s="133"/>
      <c r="N153" s="133"/>
      <c r="O153" s="133"/>
      <c r="P153" s="133"/>
    </row>
    <row r="154" spans="1:16" ht="30" customHeight="1">
      <c r="A154" s="251" t="s">
        <v>833</v>
      </c>
      <c r="B154" s="130">
        <f t="shared" si="13"/>
        <v>12387</v>
      </c>
      <c r="C154" s="202">
        <f t="shared" si="15"/>
        <v>15561</v>
      </c>
      <c r="D154" s="202">
        <v>11554</v>
      </c>
      <c r="E154" s="202">
        <v>4007</v>
      </c>
      <c r="F154" s="202">
        <f t="shared" si="14"/>
        <v>-3174</v>
      </c>
      <c r="G154" s="133"/>
      <c r="H154" s="133">
        <v>-2000</v>
      </c>
      <c r="I154" s="133">
        <v>-714</v>
      </c>
      <c r="J154" s="133"/>
      <c r="K154" s="133">
        <v>-460</v>
      </c>
      <c r="L154" s="133"/>
      <c r="M154" s="133"/>
      <c r="N154" s="133"/>
      <c r="O154" s="133"/>
      <c r="P154" s="133"/>
    </row>
    <row r="155" spans="1:16" ht="30" customHeight="1">
      <c r="A155" s="132" t="s">
        <v>21</v>
      </c>
      <c r="B155" s="130">
        <f>C155+F155+L155+M155+N155+O155+P155</f>
        <v>36464</v>
      </c>
      <c r="C155" s="202">
        <f t="shared" si="15"/>
        <v>30305</v>
      </c>
      <c r="D155" s="202">
        <f>21010-1437+D156</f>
        <v>21656</v>
      </c>
      <c r="E155" s="202">
        <f>4956+1437+E156</f>
        <v>8649</v>
      </c>
      <c r="F155" s="202">
        <f t="shared" si="14"/>
        <v>6159</v>
      </c>
      <c r="G155" s="133"/>
      <c r="H155" s="133">
        <f>1629+2915+H156</f>
        <v>4464</v>
      </c>
      <c r="I155" s="133">
        <f>1470+145+I156</f>
        <v>1695</v>
      </c>
      <c r="J155" s="133"/>
      <c r="K155" s="133">
        <f>650-575-75</f>
        <v>0</v>
      </c>
      <c r="L155" s="133"/>
      <c r="M155" s="133"/>
      <c r="N155" s="133"/>
      <c r="O155" s="133"/>
      <c r="P155" s="133"/>
    </row>
    <row r="156" spans="1:16" ht="30" customHeight="1">
      <c r="A156" s="251" t="s">
        <v>833</v>
      </c>
      <c r="B156" s="130">
        <f>C156+F156+L156+M156+N156+O156+P156</f>
        <v>4339</v>
      </c>
      <c r="C156" s="202">
        <f t="shared" si="15"/>
        <v>4339</v>
      </c>
      <c r="D156" s="202">
        <v>2083</v>
      </c>
      <c r="E156" s="202">
        <v>2256</v>
      </c>
      <c r="F156" s="202">
        <f t="shared" si="14"/>
        <v>0</v>
      </c>
      <c r="G156" s="133"/>
      <c r="H156" s="133">
        <v>-80</v>
      </c>
      <c r="I156" s="133">
        <v>80</v>
      </c>
      <c r="J156" s="133"/>
      <c r="K156" s="133"/>
      <c r="L156" s="133"/>
      <c r="M156" s="133"/>
      <c r="N156" s="133"/>
      <c r="O156" s="133"/>
      <c r="P156" s="133"/>
    </row>
    <row r="157" spans="1:16" s="120" customFormat="1" ht="30" customHeight="1">
      <c r="A157" s="269" t="s">
        <v>22</v>
      </c>
      <c r="B157" s="130">
        <f t="shared" si="16" ref="B157:B218">SUM(C157+F157,L157:P157)</f>
        <v>61739</v>
      </c>
      <c r="C157" s="202">
        <f t="shared" si="15"/>
        <v>37861</v>
      </c>
      <c r="D157" s="202">
        <v>30634</v>
      </c>
      <c r="E157" s="202">
        <v>7227</v>
      </c>
      <c r="F157" s="202">
        <f t="shared" si="14"/>
        <v>16860</v>
      </c>
      <c r="G157" s="133"/>
      <c r="H157" s="133">
        <f>19124+H158</f>
        <v>11232</v>
      </c>
      <c r="I157" s="133">
        <f>4870+I158</f>
        <v>5626</v>
      </c>
      <c r="J157" s="133"/>
      <c r="K157" s="133">
        <f>K158</f>
        <v>2</v>
      </c>
      <c r="L157" s="133"/>
      <c r="M157" s="133"/>
      <c r="N157" s="133">
        <f>N158</f>
        <v>7018</v>
      </c>
      <c r="O157" s="133"/>
      <c r="P157" s="133"/>
    </row>
    <row r="158" spans="1:16" s="120" customFormat="1" ht="30" customHeight="1">
      <c r="A158" s="251" t="s">
        <v>833</v>
      </c>
      <c r="B158" s="130">
        <f t="shared" si="16"/>
        <v>-116</v>
      </c>
      <c r="C158" s="211"/>
      <c r="D158" s="202"/>
      <c r="E158" s="202"/>
      <c r="F158" s="202">
        <f t="shared" si="14"/>
        <v>-7134</v>
      </c>
      <c r="G158" s="133"/>
      <c r="H158" s="133">
        <v>-7892</v>
      </c>
      <c r="I158" s="133">
        <v>756</v>
      </c>
      <c r="J158" s="133"/>
      <c r="K158" s="133">
        <v>2</v>
      </c>
      <c r="L158" s="133"/>
      <c r="M158" s="133"/>
      <c r="N158" s="133">
        <v>7018</v>
      </c>
      <c r="O158" s="133"/>
      <c r="P158" s="133"/>
    </row>
    <row r="159" spans="1:16" ht="30" customHeight="1">
      <c r="A159" s="132" t="s">
        <v>23</v>
      </c>
      <c r="B159" s="130">
        <f>SUM(C159+F159,L159:P159)</f>
        <v>30032</v>
      </c>
      <c r="C159" s="211">
        <f t="shared" si="15"/>
        <v>14868</v>
      </c>
      <c r="D159" s="202">
        <v>12030</v>
      </c>
      <c r="E159" s="202">
        <v>2838</v>
      </c>
      <c r="F159" s="202">
        <f>SUM(G159:K159)</f>
        <v>13502</v>
      </c>
      <c r="G159" s="133"/>
      <c r="H159" s="133">
        <f>9550+155+H160</f>
        <v>9455</v>
      </c>
      <c r="I159" s="133">
        <f>5364-155+I160</f>
        <v>3997</v>
      </c>
      <c r="J159" s="133"/>
      <c r="K159" s="133">
        <f>250+K160</f>
        <v>50</v>
      </c>
      <c r="L159" s="133"/>
      <c r="M159" s="133"/>
      <c r="N159" s="133">
        <f>N160</f>
        <v>1662</v>
      </c>
      <c r="O159" s="133"/>
      <c r="P159" s="133"/>
    </row>
    <row r="160" spans="1:16" ht="30" customHeight="1">
      <c r="A160" s="251" t="s">
        <v>833</v>
      </c>
      <c r="B160" s="130">
        <f>SUM(C160+F160,L160:P160)</f>
        <v>0</v>
      </c>
      <c r="C160" s="211"/>
      <c r="D160" s="202"/>
      <c r="E160" s="202"/>
      <c r="F160" s="202">
        <f>SUM(G160:K160)</f>
        <v>-1662</v>
      </c>
      <c r="G160" s="133"/>
      <c r="H160" s="133">
        <v>-250</v>
      </c>
      <c r="I160" s="133">
        <v>-1212</v>
      </c>
      <c r="J160" s="133"/>
      <c r="K160" s="133">
        <v>-200</v>
      </c>
      <c r="L160" s="133"/>
      <c r="M160" s="133"/>
      <c r="N160" s="133">
        <f>1460+202</f>
        <v>1662</v>
      </c>
      <c r="O160" s="133"/>
      <c r="P160" s="133"/>
    </row>
    <row r="161" spans="1:16" ht="30" customHeight="1">
      <c r="A161" s="132" t="s">
        <v>24</v>
      </c>
      <c r="B161" s="130">
        <f t="shared" si="16"/>
        <v>74396</v>
      </c>
      <c r="C161" s="211">
        <f t="shared" si="15"/>
        <v>62126</v>
      </c>
      <c r="D161" s="202">
        <v>50187</v>
      </c>
      <c r="E161" s="202">
        <v>11939</v>
      </c>
      <c r="F161" s="202">
        <f t="shared" si="14"/>
        <v>12270</v>
      </c>
      <c r="G161" s="133"/>
      <c r="H161" s="133">
        <f>6471+H162</f>
        <v>6452</v>
      </c>
      <c r="I161" s="133">
        <f>5310+I162</f>
        <v>5554</v>
      </c>
      <c r="J161" s="133"/>
      <c r="K161" s="133">
        <f>489+K162</f>
        <v>264</v>
      </c>
      <c r="L161" s="133"/>
      <c r="M161" s="133"/>
      <c r="N161" s="133"/>
      <c r="O161" s="133"/>
      <c r="P161" s="133"/>
    </row>
    <row r="162" spans="1:16" ht="30" customHeight="1">
      <c r="A162" s="251" t="s">
        <v>833</v>
      </c>
      <c r="B162" s="130">
        <f t="shared" si="16"/>
        <v>0</v>
      </c>
      <c r="C162" s="211"/>
      <c r="D162" s="202"/>
      <c r="E162" s="202"/>
      <c r="F162" s="202">
        <f t="shared" si="14"/>
        <v>0</v>
      </c>
      <c r="G162" s="133"/>
      <c r="H162" s="133">
        <f>-153+134</f>
        <v>-19</v>
      </c>
      <c r="I162" s="133">
        <v>244</v>
      </c>
      <c r="J162" s="133"/>
      <c r="K162" s="133">
        <f>-87-138</f>
        <v>-225</v>
      </c>
      <c r="L162" s="133"/>
      <c r="M162" s="133"/>
      <c r="N162" s="133"/>
      <c r="O162" s="133"/>
      <c r="P162" s="133"/>
    </row>
    <row r="163" spans="1:16" ht="19.5" customHeight="1">
      <c r="A163" s="132" t="s">
        <v>122</v>
      </c>
      <c r="B163" s="130">
        <f t="shared" si="16"/>
        <v>91418</v>
      </c>
      <c r="C163" s="211">
        <f t="shared" si="15"/>
        <v>42932</v>
      </c>
      <c r="D163" s="202">
        <f>34738+D164</f>
        <v>31863</v>
      </c>
      <c r="E163" s="202">
        <f>8194+E164</f>
        <v>11069</v>
      </c>
      <c r="F163" s="202">
        <f t="shared" si="14"/>
        <v>48486</v>
      </c>
      <c r="G163" s="133"/>
      <c r="H163" s="133">
        <f>50070+H164</f>
        <v>47061</v>
      </c>
      <c r="I163" s="133">
        <f>1430+I164</f>
        <v>1425</v>
      </c>
      <c r="J163" s="133"/>
      <c r="K163" s="133"/>
      <c r="L163" s="133"/>
      <c r="M163" s="133"/>
      <c r="N163" s="133"/>
      <c r="O163" s="133"/>
      <c r="P163" s="133"/>
    </row>
    <row r="164" spans="1:16" ht="19.5" customHeight="1">
      <c r="A164" s="252" t="s">
        <v>833</v>
      </c>
      <c r="B164" s="130">
        <f t="shared" si="16"/>
        <v>-3014</v>
      </c>
      <c r="C164" s="211">
        <f t="shared" si="15"/>
        <v>0</v>
      </c>
      <c r="D164" s="202">
        <v>-2875</v>
      </c>
      <c r="E164" s="202">
        <v>2875</v>
      </c>
      <c r="F164" s="202">
        <f t="shared" si="14"/>
        <v>-3014</v>
      </c>
      <c r="G164" s="133"/>
      <c r="H164" s="133">
        <f>(5)+(-3014)</f>
        <v>-3009</v>
      </c>
      <c r="I164" s="133">
        <v>-5</v>
      </c>
      <c r="J164" s="133"/>
      <c r="K164" s="133"/>
      <c r="L164" s="133"/>
      <c r="M164" s="133"/>
      <c r="N164" s="258"/>
      <c r="O164" s="133"/>
      <c r="P164" s="133"/>
    </row>
    <row r="165" spans="1:16" ht="30" customHeight="1">
      <c r="A165" s="135" t="s">
        <v>148</v>
      </c>
      <c r="B165" s="130">
        <f>SUM(C165+F165,L165:P165)</f>
        <v>97049</v>
      </c>
      <c r="C165" s="237">
        <f>D165+E165</f>
        <v>70453</v>
      </c>
      <c r="D165" s="213">
        <f>52390</f>
        <v>52390</v>
      </c>
      <c r="E165" s="213">
        <f>11883+E166</f>
        <v>18063</v>
      </c>
      <c r="F165" s="202">
        <f>SUM(G165:K165)</f>
        <v>26596</v>
      </c>
      <c r="G165" s="133"/>
      <c r="H165" s="133">
        <f>8480+(-500)+500+H166</f>
        <v>9826</v>
      </c>
      <c r="I165" s="133">
        <f>15160-400-500+I166</f>
        <v>16424</v>
      </c>
      <c r="J165" s="133"/>
      <c r="K165" s="133">
        <v>346</v>
      </c>
      <c r="L165" s="133"/>
      <c r="M165" s="133"/>
      <c r="N165" s="156"/>
      <c r="O165" s="133"/>
      <c r="P165" s="133"/>
    </row>
    <row r="166" spans="1:16" ht="30" customHeight="1">
      <c r="A166" s="253" t="s">
        <v>833</v>
      </c>
      <c r="B166" s="130">
        <f>SUM(C166+F166,L166:P166)</f>
        <v>9690</v>
      </c>
      <c r="C166" s="237">
        <f t="shared" si="15"/>
        <v>6180</v>
      </c>
      <c r="D166" s="213"/>
      <c r="E166" s="213">
        <v>6180</v>
      </c>
      <c r="F166" s="202">
        <f>SUM(G166:K166)</f>
        <v>3510</v>
      </c>
      <c r="G166" s="133"/>
      <c r="H166" s="133">
        <v>1346</v>
      </c>
      <c r="I166" s="133">
        <v>2164</v>
      </c>
      <c r="J166" s="133"/>
      <c r="K166" s="133"/>
      <c r="L166" s="133"/>
      <c r="M166" s="133"/>
      <c r="N166" s="225"/>
      <c r="O166" s="133"/>
      <c r="P166" s="133"/>
    </row>
    <row r="167" spans="1:16" ht="30" customHeight="1">
      <c r="A167" s="132" t="s">
        <v>25</v>
      </c>
      <c r="B167" s="130">
        <f t="shared" si="16"/>
        <v>57000</v>
      </c>
      <c r="C167" s="211">
        <f t="shared" si="15"/>
        <v>41582</v>
      </c>
      <c r="D167" s="202">
        <v>33645</v>
      </c>
      <c r="E167" s="202">
        <v>7937</v>
      </c>
      <c r="F167" s="202">
        <f t="shared" si="14"/>
        <v>15418</v>
      </c>
      <c r="G167" s="133"/>
      <c r="H167" s="133">
        <v>4606</v>
      </c>
      <c r="I167" s="133">
        <f>10875+I168</f>
        <v>10715</v>
      </c>
      <c r="J167" s="133"/>
      <c r="K167" s="133">
        <v>97</v>
      </c>
      <c r="L167" s="133"/>
      <c r="M167" s="133"/>
      <c r="N167" s="133"/>
      <c r="O167" s="133"/>
      <c r="P167" s="133"/>
    </row>
    <row r="168" spans="1:16" ht="30" customHeight="1">
      <c r="A168" s="251" t="s">
        <v>833</v>
      </c>
      <c r="B168" s="130">
        <f t="shared" si="16"/>
        <v>-160</v>
      </c>
      <c r="C168" s="211"/>
      <c r="D168" s="202"/>
      <c r="E168" s="202"/>
      <c r="F168" s="202">
        <f t="shared" si="14"/>
        <v>-160</v>
      </c>
      <c r="G168" s="133"/>
      <c r="H168" s="133"/>
      <c r="I168" s="133">
        <v>-160</v>
      </c>
      <c r="J168" s="133"/>
      <c r="K168" s="133"/>
      <c r="L168" s="133"/>
      <c r="M168" s="133"/>
      <c r="N168" s="133"/>
      <c r="O168" s="133"/>
      <c r="P168" s="133"/>
    </row>
    <row r="169" spans="1:16" ht="33.75" customHeight="1">
      <c r="A169" s="132" t="s">
        <v>102</v>
      </c>
      <c r="B169" s="130">
        <f t="shared" si="16"/>
        <v>11067</v>
      </c>
      <c r="C169" s="211">
        <f t="shared" si="15"/>
        <v>8957</v>
      </c>
      <c r="D169" s="202">
        <f>4900+771+D170</f>
        <v>7260</v>
      </c>
      <c r="E169" s="202">
        <f>1338+E170</f>
        <v>1697</v>
      </c>
      <c r="F169" s="202">
        <f t="shared" si="14"/>
        <v>2110</v>
      </c>
      <c r="G169" s="133"/>
      <c r="H169" s="133">
        <f>2415+H170</f>
        <v>1415</v>
      </c>
      <c r="I169" s="133">
        <f>630+I170</f>
        <v>630</v>
      </c>
      <c r="J169" s="133"/>
      <c r="K169" s="133">
        <v>65</v>
      </c>
      <c r="L169" s="133"/>
      <c r="M169" s="133"/>
      <c r="N169" s="133"/>
      <c r="O169" s="133"/>
      <c r="P169" s="133"/>
    </row>
    <row r="170" spans="1:16" ht="33.75" customHeight="1">
      <c r="A170" s="252" t="s">
        <v>833</v>
      </c>
      <c r="B170" s="230">
        <f t="shared" si="16"/>
        <v>948</v>
      </c>
      <c r="C170" s="211">
        <f t="shared" si="15"/>
        <v>1948</v>
      </c>
      <c r="D170" s="202">
        <v>1589</v>
      </c>
      <c r="E170" s="202">
        <v>359</v>
      </c>
      <c r="F170" s="202">
        <f t="shared" si="14"/>
        <v>-1000</v>
      </c>
      <c r="G170" s="133"/>
      <c r="H170" s="133">
        <v>-1000</v>
      </c>
      <c r="I170" s="133"/>
      <c r="J170" s="133"/>
      <c r="K170" s="133"/>
      <c r="L170" s="133"/>
      <c r="M170" s="133"/>
      <c r="N170" s="258"/>
      <c r="O170" s="133"/>
      <c r="P170" s="133"/>
    </row>
    <row r="171" spans="1:16" ht="31.5" customHeight="1">
      <c r="A171" s="281" t="s">
        <v>149</v>
      </c>
      <c r="B171" s="130">
        <f>SUM(C171+F171,L171:P171)</f>
        <v>166935</v>
      </c>
      <c r="C171" s="212">
        <f t="shared" si="15"/>
        <v>132035</v>
      </c>
      <c r="D171" s="213">
        <v>100065</v>
      </c>
      <c r="E171" s="213">
        <f>23292+E172</f>
        <v>31970</v>
      </c>
      <c r="F171" s="202">
        <f t="shared" si="14"/>
        <v>34900</v>
      </c>
      <c r="G171" s="133"/>
      <c r="H171" s="133">
        <f>14050+1000-1061+H172</f>
        <v>14389</v>
      </c>
      <c r="I171" s="133">
        <f>21050-1000+1061+I172</f>
        <v>20331</v>
      </c>
      <c r="J171" s="133"/>
      <c r="K171" s="133">
        <f>300+K172</f>
        <v>180</v>
      </c>
      <c r="L171" s="133"/>
      <c r="M171" s="133"/>
      <c r="N171" s="156"/>
      <c r="O171" s="133"/>
      <c r="P171" s="133"/>
    </row>
    <row r="172" spans="1:16" ht="30" customHeight="1">
      <c r="A172" s="253" t="s">
        <v>833</v>
      </c>
      <c r="B172" s="130">
        <f>SUM(C172+F172,L172:P172)</f>
        <v>8178</v>
      </c>
      <c r="C172" s="212">
        <f t="shared" si="15"/>
        <v>8678</v>
      </c>
      <c r="D172" s="213"/>
      <c r="E172" s="213">
        <v>8678</v>
      </c>
      <c r="F172" s="202">
        <f t="shared" si="14"/>
        <v>-500</v>
      </c>
      <c r="G172" s="133"/>
      <c r="H172" s="133">
        <v>400</v>
      </c>
      <c r="I172" s="133">
        <v>-780</v>
      </c>
      <c r="J172" s="133"/>
      <c r="K172" s="133">
        <v>-120</v>
      </c>
      <c r="L172" s="133"/>
      <c r="M172" s="133"/>
      <c r="N172" s="225"/>
      <c r="O172" s="133"/>
      <c r="P172" s="133"/>
    </row>
    <row r="173" spans="1:16" ht="27" customHeight="1">
      <c r="A173" s="132" t="s">
        <v>125</v>
      </c>
      <c r="B173" s="130">
        <f t="shared" si="16"/>
        <v>12250</v>
      </c>
      <c r="C173" s="211">
        <f>D173+E173</f>
        <v>7549</v>
      </c>
      <c r="D173" s="202">
        <f>3804+D174</f>
        <v>6404</v>
      </c>
      <c r="E173" s="202">
        <f>897+E174</f>
        <v>1145</v>
      </c>
      <c r="F173" s="202">
        <f t="shared" si="14"/>
        <v>4701</v>
      </c>
      <c r="G173" s="133"/>
      <c r="H173" s="133">
        <f>2644+H174</f>
        <v>4701</v>
      </c>
      <c r="I173" s="133"/>
      <c r="J173" s="133"/>
      <c r="K173" s="133"/>
      <c r="L173" s="133"/>
      <c r="M173" s="133"/>
      <c r="N173" s="133"/>
      <c r="O173" s="133"/>
      <c r="P173" s="133"/>
    </row>
    <row r="174" spans="1:16" ht="27" customHeight="1">
      <c r="A174" s="251" t="s">
        <v>833</v>
      </c>
      <c r="B174" s="230">
        <f t="shared" si="16"/>
        <v>4905</v>
      </c>
      <c r="C174" s="211">
        <f>D174+E174</f>
        <v>2848</v>
      </c>
      <c r="D174" s="202">
        <v>2600</v>
      </c>
      <c r="E174" s="202">
        <v>248</v>
      </c>
      <c r="F174" s="202">
        <f t="shared" si="14"/>
        <v>2057</v>
      </c>
      <c r="G174" s="133"/>
      <c r="H174" s="133">
        <v>2057</v>
      </c>
      <c r="I174" s="133"/>
      <c r="J174" s="133"/>
      <c r="K174" s="133"/>
      <c r="L174" s="133"/>
      <c r="M174" s="133"/>
      <c r="N174" s="133"/>
      <c r="O174" s="133"/>
      <c r="P174" s="133"/>
    </row>
    <row r="175" spans="1:16" ht="30" customHeight="1">
      <c r="A175" s="132" t="s">
        <v>26</v>
      </c>
      <c r="B175" s="130">
        <f t="shared" si="16"/>
        <v>96149</v>
      </c>
      <c r="C175" s="211">
        <f>D175+E175</f>
        <v>62308</v>
      </c>
      <c r="D175" s="202">
        <f>74223+D176</f>
        <v>47978</v>
      </c>
      <c r="E175" s="202">
        <f>10083+E176</f>
        <v>14330</v>
      </c>
      <c r="F175" s="202">
        <f t="shared" si="14"/>
        <v>33841</v>
      </c>
      <c r="G175" s="133"/>
      <c r="H175" s="133">
        <f>21576+H176</f>
        <v>21576</v>
      </c>
      <c r="I175" s="133">
        <f>11460+I176</f>
        <v>12055</v>
      </c>
      <c r="J175" s="133"/>
      <c r="K175" s="133">
        <f>210+K176</f>
        <v>210</v>
      </c>
      <c r="L175" s="133"/>
      <c r="M175" s="133"/>
      <c r="N175" s="133">
        <v>0</v>
      </c>
      <c r="O175" s="133"/>
      <c r="P175" s="133"/>
    </row>
    <row r="176" spans="1:16" ht="30" customHeight="1">
      <c r="A176" s="251" t="s">
        <v>833</v>
      </c>
      <c r="B176" s="130">
        <f t="shared" si="16"/>
        <v>-21403</v>
      </c>
      <c r="C176" s="211">
        <f>D176+E176</f>
        <v>-21998</v>
      </c>
      <c r="D176" s="202">
        <v>-26245</v>
      </c>
      <c r="E176" s="202">
        <v>4247</v>
      </c>
      <c r="F176" s="202">
        <f t="shared" si="14"/>
        <v>595</v>
      </c>
      <c r="G176" s="133"/>
      <c r="H176" s="133"/>
      <c r="I176" s="133">
        <v>595</v>
      </c>
      <c r="J176" s="133"/>
      <c r="K176" s="133"/>
      <c r="L176" s="133"/>
      <c r="M176" s="133"/>
      <c r="N176" s="133"/>
      <c r="O176" s="133"/>
      <c r="P176" s="133"/>
    </row>
    <row r="177" spans="1:16" ht="30" customHeight="1">
      <c r="A177" s="132" t="s">
        <v>27</v>
      </c>
      <c r="B177" s="130">
        <f t="shared" si="16"/>
        <v>45339</v>
      </c>
      <c r="C177" s="211">
        <f>D177+E177</f>
        <v>38856</v>
      </c>
      <c r="D177" s="202">
        <v>31440</v>
      </c>
      <c r="E177" s="202">
        <v>7416</v>
      </c>
      <c r="F177" s="202">
        <f t="shared" si="14"/>
        <v>6483</v>
      </c>
      <c r="G177" s="133"/>
      <c r="H177" s="133">
        <f>3693+H178</f>
        <v>2562</v>
      </c>
      <c r="I177" s="133">
        <f>2550+I178</f>
        <v>3681</v>
      </c>
      <c r="J177" s="133"/>
      <c r="K177" s="133">
        <v>240</v>
      </c>
      <c r="L177" s="133"/>
      <c r="M177" s="133"/>
      <c r="N177" s="133"/>
      <c r="O177" s="133"/>
      <c r="P177" s="133"/>
    </row>
    <row r="178" spans="1:16" ht="30" customHeight="1">
      <c r="A178" s="251" t="s">
        <v>833</v>
      </c>
      <c r="B178" s="130">
        <f t="shared" si="16"/>
        <v>0</v>
      </c>
      <c r="C178" s="211">
        <f t="shared" si="17" ref="C178:C180">D178+E178</f>
        <v>0</v>
      </c>
      <c r="D178" s="202"/>
      <c r="E178" s="202"/>
      <c r="F178" s="202">
        <f t="shared" si="14"/>
        <v>0</v>
      </c>
      <c r="G178" s="133"/>
      <c r="H178" s="133">
        <v>-1131</v>
      </c>
      <c r="I178" s="133">
        <v>1131</v>
      </c>
      <c r="J178" s="133"/>
      <c r="K178" s="133"/>
      <c r="L178" s="133"/>
      <c r="M178" s="133"/>
      <c r="N178" s="133"/>
      <c r="O178" s="133"/>
      <c r="P178" s="133"/>
    </row>
    <row r="179" spans="1:16" ht="30" customHeight="1">
      <c r="A179" s="132" t="s">
        <v>198</v>
      </c>
      <c r="B179" s="130">
        <f t="shared" si="16"/>
        <v>7579</v>
      </c>
      <c r="C179" s="211">
        <f t="shared" si="17"/>
        <v>3279</v>
      </c>
      <c r="D179" s="202">
        <f>D180</f>
        <v>2663</v>
      </c>
      <c r="E179" s="202">
        <f>E180</f>
        <v>616</v>
      </c>
      <c r="F179" s="202">
        <f t="shared" si="14"/>
        <v>4300</v>
      </c>
      <c r="G179" s="133"/>
      <c r="H179" s="133">
        <v>1422</v>
      </c>
      <c r="I179" s="133">
        <v>2798</v>
      </c>
      <c r="J179" s="133"/>
      <c r="K179" s="133">
        <v>80</v>
      </c>
      <c r="L179" s="133"/>
      <c r="M179" s="133"/>
      <c r="N179" s="133">
        <f>38360+N180</f>
        <v>0</v>
      </c>
      <c r="O179" s="133"/>
      <c r="P179" s="133"/>
    </row>
    <row r="180" spans="1:16" ht="30" customHeight="1">
      <c r="A180" s="251" t="s">
        <v>833</v>
      </c>
      <c r="B180" s="230">
        <f t="shared" si="16"/>
        <v>-35081</v>
      </c>
      <c r="C180" s="211">
        <f t="shared" si="17"/>
        <v>3279</v>
      </c>
      <c r="D180" s="202">
        <v>2663</v>
      </c>
      <c r="E180" s="202">
        <v>616</v>
      </c>
      <c r="F180" s="202"/>
      <c r="G180" s="133"/>
      <c r="H180" s="133"/>
      <c r="I180" s="133"/>
      <c r="J180" s="133"/>
      <c r="K180" s="133"/>
      <c r="L180" s="133"/>
      <c r="M180" s="133"/>
      <c r="N180" s="133">
        <v>-38360</v>
      </c>
      <c r="O180" s="133"/>
      <c r="P180" s="133"/>
    </row>
    <row r="181" spans="1:16" ht="27" customHeight="1">
      <c r="A181" s="132" t="s">
        <v>28</v>
      </c>
      <c r="B181" s="130">
        <f t="shared" si="16"/>
        <v>102781</v>
      </c>
      <c r="C181" s="211">
        <f>D181+E181</f>
        <v>81138</v>
      </c>
      <c r="D181" s="202">
        <v>65570</v>
      </c>
      <c r="E181" s="202">
        <v>15568</v>
      </c>
      <c r="F181" s="202">
        <f t="shared" si="14"/>
        <v>20730</v>
      </c>
      <c r="G181" s="133"/>
      <c r="H181" s="133">
        <f>5054+H182</f>
        <v>7321</v>
      </c>
      <c r="I181" s="133">
        <f>13989+I182</f>
        <v>13209</v>
      </c>
      <c r="J181" s="133"/>
      <c r="K181" s="133">
        <v>200</v>
      </c>
      <c r="L181" s="133"/>
      <c r="M181" s="133"/>
      <c r="N181" s="133">
        <f>2500+N182</f>
        <v>913</v>
      </c>
      <c r="O181" s="133"/>
      <c r="P181" s="133"/>
    </row>
    <row r="182" spans="1:16" ht="27" customHeight="1">
      <c r="A182" s="251" t="s">
        <v>833</v>
      </c>
      <c r="B182" s="130">
        <f t="shared" si="16"/>
        <v>-100</v>
      </c>
      <c r="C182" s="211"/>
      <c r="D182" s="202"/>
      <c r="E182" s="202"/>
      <c r="F182" s="202">
        <f t="shared" si="14"/>
        <v>1487</v>
      </c>
      <c r="G182" s="133"/>
      <c r="H182" s="133">
        <v>2267</v>
      </c>
      <c r="I182" s="133">
        <f>-1000+220</f>
        <v>-780</v>
      </c>
      <c r="J182" s="133"/>
      <c r="K182" s="133"/>
      <c r="L182" s="133"/>
      <c r="M182" s="133"/>
      <c r="N182" s="133">
        <v>-1587</v>
      </c>
      <c r="O182" s="133"/>
      <c r="P182" s="133"/>
    </row>
    <row r="183" spans="1:16" ht="22.5" customHeight="1">
      <c r="A183" s="132" t="s">
        <v>29</v>
      </c>
      <c r="B183" s="130">
        <f>SUM(C183+F183,L183:P183)</f>
        <v>1764345</v>
      </c>
      <c r="C183" s="202">
        <f>D183+E183</f>
        <v>752614</v>
      </c>
      <c r="D183" s="202">
        <f>59537+114472+79247+119130+196389+18550</f>
        <v>587325</v>
      </c>
      <c r="E183" s="202">
        <f>17066+32425+22202+34840+53441+5315</f>
        <v>165289</v>
      </c>
      <c r="F183" s="202">
        <f>SUM(G183:K183)</f>
        <v>977631</v>
      </c>
      <c r="G183" s="133">
        <f>8+200</f>
        <v>208</v>
      </c>
      <c r="H183" s="133">
        <f>585118</f>
        <v>585118</v>
      </c>
      <c r="I183" s="133">
        <f>13450+14990+11710+10425+67535+251</f>
        <v>118361</v>
      </c>
      <c r="J183" s="133"/>
      <c r="K183" s="133">
        <f>52500+3144+50400+39200+128200+500</f>
        <v>273944</v>
      </c>
      <c r="L183" s="133"/>
      <c r="M183" s="133"/>
      <c r="N183" s="133">
        <f>34100</f>
        <v>34100</v>
      </c>
      <c r="O183" s="133"/>
      <c r="P183" s="133"/>
    </row>
    <row r="184" spans="1:16" ht="30" customHeight="1">
      <c r="A184" s="132" t="s">
        <v>182</v>
      </c>
      <c r="B184" s="130">
        <f>SUM(C184+F184,L184:P184)</f>
        <v>82807</v>
      </c>
      <c r="C184" s="202"/>
      <c r="D184" s="202"/>
      <c r="E184" s="202"/>
      <c r="F184" s="202">
        <f>SUM(G184:K184)</f>
        <v>82807</v>
      </c>
      <c r="G184" s="133"/>
      <c r="H184" s="133">
        <v>80307</v>
      </c>
      <c r="I184" s="133">
        <v>2500</v>
      </c>
      <c r="J184" s="133"/>
      <c r="K184" s="133"/>
      <c r="L184" s="133"/>
      <c r="M184" s="133"/>
      <c r="N184" s="133"/>
      <c r="O184" s="133"/>
      <c r="P184" s="133"/>
    </row>
    <row r="185" spans="1:16" ht="30" customHeight="1">
      <c r="A185" s="132" t="s">
        <v>120</v>
      </c>
      <c r="B185" s="130">
        <f t="shared" si="16"/>
        <v>7500</v>
      </c>
      <c r="C185" s="202"/>
      <c r="D185" s="202"/>
      <c r="E185" s="202"/>
      <c r="F185" s="202">
        <f t="shared" si="18" ref="F185:F240">SUM(G185:K185)</f>
        <v>7500</v>
      </c>
      <c r="G185" s="133"/>
      <c r="H185" s="133">
        <v>7500</v>
      </c>
      <c r="I185" s="133"/>
      <c r="J185" s="133"/>
      <c r="K185" s="133"/>
      <c r="L185" s="133"/>
      <c r="M185" s="133"/>
      <c r="N185" s="133"/>
      <c r="O185" s="133"/>
      <c r="P185" s="133"/>
    </row>
    <row r="186" spans="1:16" ht="30" customHeight="1">
      <c r="A186" s="132" t="s">
        <v>126</v>
      </c>
      <c r="B186" s="130">
        <f t="shared" si="16"/>
        <v>1000</v>
      </c>
      <c r="C186" s="202"/>
      <c r="D186" s="202"/>
      <c r="E186" s="202"/>
      <c r="F186" s="202">
        <f t="shared" si="18"/>
        <v>1000</v>
      </c>
      <c r="G186" s="133"/>
      <c r="H186" s="133">
        <v>500</v>
      </c>
      <c r="I186" s="133">
        <v>500</v>
      </c>
      <c r="J186" s="133"/>
      <c r="K186" s="133"/>
      <c r="L186" s="133"/>
      <c r="M186" s="133"/>
      <c r="N186" s="133"/>
      <c r="O186" s="133"/>
      <c r="P186" s="133"/>
    </row>
    <row r="187" spans="1:16" ht="30" customHeight="1">
      <c r="A187" s="132" t="s">
        <v>121</v>
      </c>
      <c r="B187" s="130">
        <f t="shared" si="16"/>
        <v>9827</v>
      </c>
      <c r="C187" s="202"/>
      <c r="D187" s="202"/>
      <c r="E187" s="202"/>
      <c r="F187" s="202">
        <f t="shared" si="18"/>
        <v>9827</v>
      </c>
      <c r="G187" s="133"/>
      <c r="H187" s="133">
        <v>3736</v>
      </c>
      <c r="I187" s="133">
        <v>6091</v>
      </c>
      <c r="J187" s="133"/>
      <c r="K187" s="133"/>
      <c r="L187" s="133"/>
      <c r="M187" s="133"/>
      <c r="N187" s="133"/>
      <c r="O187" s="133"/>
      <c r="P187" s="133"/>
    </row>
    <row r="188" spans="1:16" ht="36" customHeight="1">
      <c r="A188" s="134" t="s">
        <v>123</v>
      </c>
      <c r="B188" s="130">
        <f t="shared" si="16"/>
        <v>3200</v>
      </c>
      <c r="C188" s="202"/>
      <c r="D188" s="202"/>
      <c r="E188" s="202"/>
      <c r="F188" s="202">
        <f>SUM(G188:K188)</f>
        <v>3200</v>
      </c>
      <c r="G188" s="133"/>
      <c r="H188" s="133">
        <v>1179</v>
      </c>
      <c r="I188" s="133">
        <v>2021</v>
      </c>
      <c r="J188" s="133"/>
      <c r="K188" s="133"/>
      <c r="L188" s="133"/>
      <c r="M188" s="133"/>
      <c r="N188" s="133"/>
      <c r="O188" s="133"/>
      <c r="P188" s="133"/>
    </row>
    <row r="189" spans="1:16" ht="24" customHeight="1">
      <c r="A189" s="132" t="s">
        <v>746</v>
      </c>
      <c r="B189" s="130">
        <f>SUM(C189+F189,L189:P189)</f>
        <v>366823</v>
      </c>
      <c r="C189" s="133">
        <f t="shared" si="19" ref="C189:C217">D189+E189</f>
        <v>256155</v>
      </c>
      <c r="D189" s="202">
        <f>208880+D190</f>
        <v>202370</v>
      </c>
      <c r="E189" s="202">
        <f>49275+E190</f>
        <v>53785</v>
      </c>
      <c r="F189" s="202">
        <f>SUM(G189:K189)</f>
        <v>106284</v>
      </c>
      <c r="G189" s="133">
        <f>G190</f>
        <v>25</v>
      </c>
      <c r="H189" s="133">
        <f>53730+H190</f>
        <v>33938</v>
      </c>
      <c r="I189" s="133">
        <f>51546+778+I190</f>
        <v>72172</v>
      </c>
      <c r="J189" s="133"/>
      <c r="K189" s="133">
        <f>K190</f>
        <v>149</v>
      </c>
      <c r="L189" s="133"/>
      <c r="M189" s="133"/>
      <c r="N189" s="133">
        <f>4000+N190</f>
        <v>4384</v>
      </c>
      <c r="O189" s="133"/>
      <c r="P189" s="133"/>
    </row>
    <row r="190" spans="1:16" ht="24" customHeight="1">
      <c r="A190" s="251" t="s">
        <v>833</v>
      </c>
      <c r="B190" s="130">
        <f>SUM(C190+F190,L190:P190)</f>
        <v>-1386</v>
      </c>
      <c r="C190" s="133">
        <f t="shared" si="19"/>
        <v>-2000</v>
      </c>
      <c r="D190" s="202">
        <v>-6510</v>
      </c>
      <c r="E190" s="202">
        <v>4510</v>
      </c>
      <c r="F190" s="202">
        <f>SUM(G190:K190)</f>
        <v>230</v>
      </c>
      <c r="G190" s="133">
        <v>25</v>
      </c>
      <c r="H190" s="133">
        <f>-16605-3187</f>
        <v>-19792</v>
      </c>
      <c r="I190" s="133">
        <f>16869+2000+365+614</f>
        <v>19848</v>
      </c>
      <c r="J190" s="133"/>
      <c r="K190" s="133">
        <v>149</v>
      </c>
      <c r="L190" s="133"/>
      <c r="M190" s="133"/>
      <c r="N190" s="202">
        <f>-438+822</f>
        <v>384</v>
      </c>
      <c r="O190" s="133"/>
      <c r="P190" s="133"/>
    </row>
    <row r="191" spans="1:16" ht="33.75" customHeight="1">
      <c r="A191" s="132" t="s">
        <v>213</v>
      </c>
      <c r="B191" s="130">
        <f t="shared" si="16"/>
        <v>120840</v>
      </c>
      <c r="C191" s="202">
        <f t="shared" si="19"/>
        <v>92427</v>
      </c>
      <c r="D191" s="202">
        <f>74057+D192</f>
        <v>74057</v>
      </c>
      <c r="E191" s="202">
        <f>16183+E192</f>
        <v>18370</v>
      </c>
      <c r="F191" s="202">
        <f t="shared" si="18"/>
        <v>28413</v>
      </c>
      <c r="G191" s="133"/>
      <c r="H191" s="133">
        <f>8421+H192</f>
        <v>11011</v>
      </c>
      <c r="I191" s="133">
        <f>19142+I192</f>
        <v>17052</v>
      </c>
      <c r="J191" s="133"/>
      <c r="K191" s="133">
        <v>350</v>
      </c>
      <c r="L191" s="133"/>
      <c r="M191" s="133"/>
      <c r="N191" s="133"/>
      <c r="O191" s="133"/>
      <c r="P191" s="133"/>
    </row>
    <row r="192" spans="1:16" ht="30" customHeight="1">
      <c r="A192" s="251" t="s">
        <v>833</v>
      </c>
      <c r="B192" s="130">
        <f t="shared" si="16"/>
        <v>2687</v>
      </c>
      <c r="C192" s="202">
        <f t="shared" si="19"/>
        <v>2187</v>
      </c>
      <c r="D192" s="202"/>
      <c r="E192" s="202">
        <v>2187</v>
      </c>
      <c r="F192" s="202">
        <f t="shared" si="18"/>
        <v>500</v>
      </c>
      <c r="G192" s="133"/>
      <c r="H192" s="133">
        <v>2590</v>
      </c>
      <c r="I192" s="133">
        <v>-2090</v>
      </c>
      <c r="J192" s="133"/>
      <c r="K192" s="133"/>
      <c r="L192" s="133"/>
      <c r="M192" s="133"/>
      <c r="N192" s="133"/>
      <c r="O192" s="133"/>
      <c r="P192" s="133"/>
    </row>
    <row r="193" spans="1:16" ht="33" customHeight="1">
      <c r="A193" s="132" t="s">
        <v>106</v>
      </c>
      <c r="B193" s="130">
        <f t="shared" si="16"/>
        <v>19050</v>
      </c>
      <c r="C193" s="202">
        <f t="shared" si="19"/>
        <v>15938</v>
      </c>
      <c r="D193" s="202">
        <f>11574+D194</f>
        <v>12728</v>
      </c>
      <c r="E193" s="202">
        <f>2582+E194</f>
        <v>3210</v>
      </c>
      <c r="F193" s="202">
        <f t="shared" si="18"/>
        <v>3112</v>
      </c>
      <c r="G193" s="133"/>
      <c r="H193" s="133">
        <v>787</v>
      </c>
      <c r="I193" s="133">
        <f>1172+I194</f>
        <v>2325</v>
      </c>
      <c r="J193" s="133"/>
      <c r="K193" s="133"/>
      <c r="L193" s="133"/>
      <c r="M193" s="133"/>
      <c r="N193" s="133"/>
      <c r="O193" s="133"/>
      <c r="P193" s="133"/>
    </row>
    <row r="194" spans="1:16" ht="33" customHeight="1">
      <c r="A194" s="251" t="s">
        <v>833</v>
      </c>
      <c r="B194" s="230">
        <f t="shared" si="16"/>
        <v>2935</v>
      </c>
      <c r="C194" s="202">
        <f t="shared" si="19"/>
        <v>1782</v>
      </c>
      <c r="D194" s="202">
        <v>1154</v>
      </c>
      <c r="E194" s="202">
        <v>628</v>
      </c>
      <c r="F194" s="202">
        <f t="shared" si="18"/>
        <v>1153</v>
      </c>
      <c r="G194" s="133"/>
      <c r="H194" s="133"/>
      <c r="I194" s="133">
        <v>1153</v>
      </c>
      <c r="J194" s="133"/>
      <c r="K194" s="133"/>
      <c r="L194" s="133"/>
      <c r="M194" s="133"/>
      <c r="N194" s="133"/>
      <c r="O194" s="133"/>
      <c r="P194" s="133"/>
    </row>
    <row r="195" spans="1:16" ht="34.5" customHeight="1">
      <c r="A195" s="132" t="s">
        <v>101</v>
      </c>
      <c r="B195" s="130">
        <f t="shared" si="16"/>
        <v>9135</v>
      </c>
      <c r="C195" s="202">
        <f t="shared" si="19"/>
        <v>5706</v>
      </c>
      <c r="D195" s="202">
        <f>10500+D196</f>
        <v>3921</v>
      </c>
      <c r="E195" s="202">
        <f>2477+E196</f>
        <v>1785</v>
      </c>
      <c r="F195" s="202">
        <f t="shared" si="18"/>
        <v>3429</v>
      </c>
      <c r="G195" s="133"/>
      <c r="H195" s="133">
        <f>570+H196</f>
        <v>790</v>
      </c>
      <c r="I195" s="133">
        <f>2546+I196</f>
        <v>2639</v>
      </c>
      <c r="J195" s="133"/>
      <c r="K195" s="133"/>
      <c r="L195" s="133"/>
      <c r="M195" s="133"/>
      <c r="N195" s="133"/>
      <c r="O195" s="133"/>
      <c r="P195" s="133"/>
    </row>
    <row r="196" spans="1:16" ht="34.5" customHeight="1">
      <c r="A196" s="251" t="s">
        <v>833</v>
      </c>
      <c r="B196" s="230">
        <f t="shared" si="16"/>
        <v>-6958</v>
      </c>
      <c r="C196" s="202">
        <f t="shared" si="19"/>
        <v>-7271</v>
      </c>
      <c r="D196" s="202">
        <v>-6579</v>
      </c>
      <c r="E196" s="202">
        <v>-692</v>
      </c>
      <c r="F196" s="202">
        <f t="shared" si="18"/>
        <v>313</v>
      </c>
      <c r="G196" s="133"/>
      <c r="H196" s="133">
        <v>220</v>
      </c>
      <c r="I196" s="133">
        <v>93</v>
      </c>
      <c r="J196" s="133"/>
      <c r="K196" s="133"/>
      <c r="L196" s="133"/>
      <c r="M196" s="133"/>
      <c r="N196" s="133"/>
      <c r="O196" s="133"/>
      <c r="P196" s="133"/>
    </row>
    <row r="197" spans="1:16" ht="36" customHeight="1">
      <c r="A197" s="132" t="s">
        <v>108</v>
      </c>
      <c r="B197" s="130">
        <f t="shared" si="16"/>
        <v>23952</v>
      </c>
      <c r="C197" s="202">
        <f t="shared" si="19"/>
        <v>19350</v>
      </c>
      <c r="D197" s="202">
        <f>10665+D198</f>
        <v>15646</v>
      </c>
      <c r="E197" s="202">
        <f>2516+E198</f>
        <v>3704</v>
      </c>
      <c r="F197" s="202">
        <f t="shared" si="18"/>
        <v>4602</v>
      </c>
      <c r="G197" s="133"/>
      <c r="H197" s="133">
        <f>367+H198</f>
        <v>367</v>
      </c>
      <c r="I197" s="133">
        <f>4235+I198</f>
        <v>4235</v>
      </c>
      <c r="J197" s="133"/>
      <c r="K197" s="133"/>
      <c r="L197" s="133"/>
      <c r="M197" s="133"/>
      <c r="N197" s="133">
        <v>0</v>
      </c>
      <c r="O197" s="133"/>
      <c r="P197" s="133"/>
    </row>
    <row r="198" spans="1:16" ht="30" customHeight="1">
      <c r="A198" s="251" t="s">
        <v>833</v>
      </c>
      <c r="B198" s="230">
        <f t="shared" si="16"/>
        <v>6169</v>
      </c>
      <c r="C198" s="202">
        <f t="shared" si="19"/>
        <v>6169</v>
      </c>
      <c r="D198" s="202">
        <v>4981</v>
      </c>
      <c r="E198" s="202">
        <v>1188</v>
      </c>
      <c r="F198" s="202">
        <f t="shared" si="18"/>
        <v>0</v>
      </c>
      <c r="G198" s="133"/>
      <c r="H198" s="133"/>
      <c r="I198" s="133"/>
      <c r="J198" s="133"/>
      <c r="K198" s="133"/>
      <c r="L198" s="133"/>
      <c r="M198" s="133"/>
      <c r="N198" s="133"/>
      <c r="O198" s="133"/>
      <c r="P198" s="133"/>
    </row>
    <row r="199" spans="1:16" ht="33" customHeight="1">
      <c r="A199" s="132" t="s">
        <v>116</v>
      </c>
      <c r="B199" s="130">
        <f t="shared" si="16"/>
        <v>22303</v>
      </c>
      <c r="C199" s="202">
        <f t="shared" si="19"/>
        <v>16437</v>
      </c>
      <c r="D199" s="202">
        <v>13300</v>
      </c>
      <c r="E199" s="202">
        <v>3137</v>
      </c>
      <c r="F199" s="202">
        <f t="shared" si="18"/>
        <v>5866</v>
      </c>
      <c r="G199" s="133"/>
      <c r="H199" s="133">
        <f>700+H200</f>
        <v>1968</v>
      </c>
      <c r="I199" s="133">
        <f>1874+I200</f>
        <v>3898</v>
      </c>
      <c r="J199" s="133"/>
      <c r="K199" s="133"/>
      <c r="L199" s="133"/>
      <c r="M199" s="133"/>
      <c r="N199" s="133"/>
      <c r="O199" s="133"/>
      <c r="P199" s="133"/>
    </row>
    <row r="200" spans="1:16" ht="30" customHeight="1">
      <c r="A200" s="251" t="s">
        <v>833</v>
      </c>
      <c r="B200" s="230">
        <f t="shared" si="16"/>
        <v>3292</v>
      </c>
      <c r="C200" s="202">
        <f t="shared" si="19"/>
        <v>0</v>
      </c>
      <c r="D200" s="202"/>
      <c r="E200" s="202"/>
      <c r="F200" s="202">
        <f t="shared" si="18"/>
        <v>3292</v>
      </c>
      <c r="G200" s="133"/>
      <c r="H200" s="133">
        <v>1268</v>
      </c>
      <c r="I200" s="133">
        <v>2024</v>
      </c>
      <c r="J200" s="133"/>
      <c r="K200" s="133"/>
      <c r="L200" s="133"/>
      <c r="M200" s="133"/>
      <c r="N200" s="133"/>
      <c r="O200" s="133"/>
      <c r="P200" s="133"/>
    </row>
    <row r="201" spans="1:16" ht="34.5" customHeight="1">
      <c r="A201" s="132" t="s">
        <v>118</v>
      </c>
      <c r="B201" s="130">
        <f t="shared" si="16"/>
        <v>24027</v>
      </c>
      <c r="C201" s="202">
        <f t="shared" si="19"/>
        <v>18031</v>
      </c>
      <c r="D201" s="202">
        <v>14590</v>
      </c>
      <c r="E201" s="202">
        <v>3441</v>
      </c>
      <c r="F201" s="202">
        <f t="shared" si="18"/>
        <v>5996</v>
      </c>
      <c r="G201" s="133"/>
      <c r="H201" s="133">
        <v>1550</v>
      </c>
      <c r="I201" s="133">
        <v>4446</v>
      </c>
      <c r="J201" s="133"/>
      <c r="K201" s="133"/>
      <c r="L201" s="133"/>
      <c r="M201" s="133"/>
      <c r="N201" s="133"/>
      <c r="O201" s="133"/>
      <c r="P201" s="133"/>
    </row>
    <row r="202" spans="1:16" ht="23.25" customHeight="1">
      <c r="A202" s="132" t="s">
        <v>124</v>
      </c>
      <c r="B202" s="130">
        <f t="shared" si="16"/>
        <v>207318</v>
      </c>
      <c r="C202" s="202">
        <f t="shared" si="19"/>
        <v>163933</v>
      </c>
      <c r="D202" s="202">
        <f>139462+D203</f>
        <v>131034</v>
      </c>
      <c r="E202" s="202">
        <f>32899+E203</f>
        <v>32899</v>
      </c>
      <c r="F202" s="202">
        <f t="shared" si="18"/>
        <v>43385</v>
      </c>
      <c r="G202" s="133"/>
      <c r="H202" s="133">
        <f>14166+2000+H203</f>
        <v>24048</v>
      </c>
      <c r="I202" s="133">
        <f>20791+(-2000)+I203</f>
        <v>18791</v>
      </c>
      <c r="J202" s="133"/>
      <c r="K202" s="133">
        <f>K203</f>
        <v>546</v>
      </c>
      <c r="L202" s="133"/>
      <c r="M202" s="133"/>
      <c r="N202" s="133"/>
      <c r="O202" s="133"/>
      <c r="P202" s="133"/>
    </row>
    <row r="203" spans="1:16" ht="23.25" customHeight="1">
      <c r="A203" s="251" t="s">
        <v>833</v>
      </c>
      <c r="B203" s="230">
        <f t="shared" si="16"/>
        <v>0</v>
      </c>
      <c r="C203" s="202">
        <f t="shared" si="19"/>
        <v>-8428</v>
      </c>
      <c r="D203" s="202">
        <v>-8428</v>
      </c>
      <c r="E203" s="202"/>
      <c r="F203" s="202">
        <f t="shared" si="18"/>
        <v>8428</v>
      </c>
      <c r="G203" s="133"/>
      <c r="H203" s="133">
        <v>7882</v>
      </c>
      <c r="I203" s="133"/>
      <c r="J203" s="133"/>
      <c r="K203" s="133">
        <v>546</v>
      </c>
      <c r="L203" s="133"/>
      <c r="M203" s="133"/>
      <c r="N203" s="133"/>
      <c r="O203" s="133"/>
      <c r="P203" s="133"/>
    </row>
    <row r="204" spans="1:16" ht="30" customHeight="1">
      <c r="A204" s="132" t="s">
        <v>247</v>
      </c>
      <c r="B204" s="130">
        <f t="shared" si="16"/>
        <v>67747</v>
      </c>
      <c r="C204" s="202">
        <f t="shared" si="19"/>
        <v>37948</v>
      </c>
      <c r="D204" s="202">
        <f>22680+2786+1598-1194+D205</f>
        <v>28870</v>
      </c>
      <c r="E204" s="202">
        <f>6384+1194+E205</f>
        <v>9078</v>
      </c>
      <c r="F204" s="202">
        <f t="shared" si="18"/>
        <v>28399</v>
      </c>
      <c r="G204" s="133"/>
      <c r="H204" s="133">
        <v>1541</v>
      </c>
      <c r="I204" s="133">
        <f>32758+I205</f>
        <v>26858</v>
      </c>
      <c r="J204" s="133"/>
      <c r="K204" s="133"/>
      <c r="L204" s="133"/>
      <c r="M204" s="133"/>
      <c r="N204" s="133">
        <f>N205</f>
        <v>1400</v>
      </c>
      <c r="O204" s="133"/>
      <c r="P204" s="133"/>
    </row>
    <row r="205" spans="1:16" ht="30" customHeight="1">
      <c r="A205" s="251" t="s">
        <v>833</v>
      </c>
      <c r="B205" s="130">
        <f t="shared" si="16"/>
        <v>0</v>
      </c>
      <c r="C205" s="202">
        <f t="shared" si="19"/>
        <v>4500</v>
      </c>
      <c r="D205" s="202">
        <v>3000</v>
      </c>
      <c r="E205" s="202">
        <v>1500</v>
      </c>
      <c r="F205" s="202">
        <f t="shared" si="18"/>
        <v>-5900</v>
      </c>
      <c r="G205" s="133"/>
      <c r="H205" s="133"/>
      <c r="I205" s="133">
        <v>-5900</v>
      </c>
      <c r="J205" s="133"/>
      <c r="K205" s="133"/>
      <c r="L205" s="133"/>
      <c r="M205" s="133"/>
      <c r="N205" s="133">
        <v>1400</v>
      </c>
      <c r="O205" s="133"/>
      <c r="P205" s="133"/>
    </row>
    <row r="206" spans="1:16" ht="30" customHeight="1">
      <c r="A206" s="132" t="s">
        <v>113</v>
      </c>
      <c r="B206" s="130">
        <f t="shared" si="16"/>
        <v>193694</v>
      </c>
      <c r="C206" s="202">
        <f t="shared" si="19"/>
        <v>36074</v>
      </c>
      <c r="D206" s="202">
        <f>22400+3422+1542+D207</f>
        <v>29255</v>
      </c>
      <c r="E206" s="202">
        <f>5242+E207</f>
        <v>6819</v>
      </c>
      <c r="F206" s="202">
        <f t="shared" si="18"/>
        <v>156945</v>
      </c>
      <c r="G206" s="133"/>
      <c r="H206" s="133">
        <f>7774+8086+H207</f>
        <v>19494</v>
      </c>
      <c r="I206" s="133">
        <f>63406+72700+I207</f>
        <v>136761</v>
      </c>
      <c r="J206" s="133"/>
      <c r="K206" s="133">
        <f>800+K207</f>
        <v>690</v>
      </c>
      <c r="L206" s="133"/>
      <c r="M206" s="133"/>
      <c r="N206" s="133">
        <f>N207</f>
        <v>675</v>
      </c>
      <c r="O206" s="133"/>
      <c r="P206" s="133"/>
    </row>
    <row r="207" spans="1:16" ht="30" customHeight="1">
      <c r="A207" s="251" t="s">
        <v>833</v>
      </c>
      <c r="B207" s="130">
        <f t="shared" si="16"/>
        <v>8322</v>
      </c>
      <c r="C207" s="202">
        <f t="shared" si="19"/>
        <v>3468</v>
      </c>
      <c r="D207" s="202">
        <v>1891</v>
      </c>
      <c r="E207" s="202">
        <v>1577</v>
      </c>
      <c r="F207" s="202">
        <f t="shared" si="18"/>
        <v>4179</v>
      </c>
      <c r="G207" s="133"/>
      <c r="H207" s="133">
        <f>2624+1010</f>
        <v>3634</v>
      </c>
      <c r="I207" s="133">
        <f>555+100</f>
        <v>655</v>
      </c>
      <c r="J207" s="133"/>
      <c r="K207" s="133">
        <v>-110</v>
      </c>
      <c r="L207" s="133"/>
      <c r="M207" s="133"/>
      <c r="N207" s="133">
        <v>675</v>
      </c>
      <c r="O207" s="133"/>
      <c r="P207" s="133"/>
    </row>
    <row r="208" spans="1:16" ht="30" customHeight="1">
      <c r="A208" s="132" t="s">
        <v>110</v>
      </c>
      <c r="B208" s="130">
        <f t="shared" si="16"/>
        <v>47278</v>
      </c>
      <c r="C208" s="202">
        <f t="shared" si="19"/>
        <v>34394</v>
      </c>
      <c r="D208" s="202">
        <f>22400+3887+1542</f>
        <v>27829</v>
      </c>
      <c r="E208" s="202">
        <v>6565</v>
      </c>
      <c r="F208" s="202">
        <f>SUM(G208:K208)</f>
        <v>11210</v>
      </c>
      <c r="G208" s="133"/>
      <c r="H208" s="133">
        <v>0</v>
      </c>
      <c r="I208" s="133">
        <v>10910</v>
      </c>
      <c r="J208" s="133"/>
      <c r="K208" s="133">
        <v>300</v>
      </c>
      <c r="L208" s="133"/>
      <c r="M208" s="133"/>
      <c r="N208" s="133">
        <f>N209</f>
        <v>1674</v>
      </c>
      <c r="O208" s="133"/>
      <c r="P208" s="133"/>
    </row>
    <row r="209" spans="1:16" ht="30" customHeight="1">
      <c r="A209" s="251" t="s">
        <v>833</v>
      </c>
      <c r="B209" s="230">
        <f t="shared" si="16"/>
        <v>1674</v>
      </c>
      <c r="C209" s="202"/>
      <c r="D209" s="202"/>
      <c r="E209" s="202"/>
      <c r="F209" s="202">
        <f>SUM(G209:K209)</f>
        <v>0</v>
      </c>
      <c r="G209" s="133"/>
      <c r="H209" s="133"/>
      <c r="I209" s="133"/>
      <c r="J209" s="133"/>
      <c r="K209" s="133"/>
      <c r="L209" s="133"/>
      <c r="M209" s="133"/>
      <c r="N209" s="133">
        <v>1674</v>
      </c>
      <c r="O209" s="133"/>
      <c r="P209" s="133"/>
    </row>
    <row r="210" spans="1:16" ht="30" customHeight="1">
      <c r="A210" s="132" t="s">
        <v>256</v>
      </c>
      <c r="B210" s="130">
        <f t="shared" si="16"/>
        <v>82266</v>
      </c>
      <c r="C210" s="202">
        <f t="shared" si="19"/>
        <v>48742</v>
      </c>
      <c r="D210" s="202">
        <f>22694+4888+D211</f>
        <v>39033</v>
      </c>
      <c r="E210" s="202">
        <f>6507+E211</f>
        <v>9709</v>
      </c>
      <c r="F210" s="202">
        <f t="shared" si="18"/>
        <v>33524</v>
      </c>
      <c r="G210" s="133"/>
      <c r="H210" s="133">
        <f>6325+H211</f>
        <v>5113</v>
      </c>
      <c r="I210" s="133">
        <f>17620+I211</f>
        <v>27781</v>
      </c>
      <c r="J210" s="133"/>
      <c r="K210" s="133">
        <v>630</v>
      </c>
      <c r="L210" s="133"/>
      <c r="M210" s="133"/>
      <c r="N210" s="133"/>
      <c r="O210" s="133"/>
      <c r="P210" s="133"/>
    </row>
    <row r="211" spans="1:16" ht="30" customHeight="1">
      <c r="A211" s="251" t="s">
        <v>833</v>
      </c>
      <c r="B211" s="130">
        <f t="shared" si="16"/>
        <v>23602</v>
      </c>
      <c r="C211" s="202">
        <f t="shared" si="19"/>
        <v>14653</v>
      </c>
      <c r="D211" s="202">
        <v>11451</v>
      </c>
      <c r="E211" s="202">
        <v>3202</v>
      </c>
      <c r="F211" s="202">
        <f t="shared" si="18"/>
        <v>8949</v>
      </c>
      <c r="G211" s="133"/>
      <c r="H211" s="133">
        <v>-1212</v>
      </c>
      <c r="I211" s="133">
        <f>7877+2284</f>
        <v>10161</v>
      </c>
      <c r="J211" s="133"/>
      <c r="K211" s="133"/>
      <c r="L211" s="133"/>
      <c r="M211" s="133"/>
      <c r="N211" s="133"/>
      <c r="O211" s="133"/>
      <c r="P211" s="133"/>
    </row>
    <row r="212" spans="1:16" ht="36.75" customHeight="1">
      <c r="A212" s="132" t="s">
        <v>115</v>
      </c>
      <c r="B212" s="130">
        <f t="shared" si="16"/>
        <v>32771</v>
      </c>
      <c r="C212" s="202">
        <f t="shared" si="19"/>
        <v>24323</v>
      </c>
      <c r="D212" s="202">
        <f>14700+3442+1542</f>
        <v>19684</v>
      </c>
      <c r="E212" s="202">
        <v>4639</v>
      </c>
      <c r="F212" s="202">
        <f t="shared" si="18"/>
        <v>8448</v>
      </c>
      <c r="G212" s="133"/>
      <c r="H212" s="133">
        <f>1795+H213</f>
        <v>3095</v>
      </c>
      <c r="I212" s="133">
        <v>5103</v>
      </c>
      <c r="J212" s="133"/>
      <c r="K212" s="133">
        <v>250</v>
      </c>
      <c r="L212" s="133"/>
      <c r="M212" s="133"/>
      <c r="N212" s="133"/>
      <c r="O212" s="133"/>
      <c r="P212" s="133"/>
    </row>
    <row r="213" spans="1:16" ht="36.75" customHeight="1">
      <c r="A213" s="251" t="s">
        <v>833</v>
      </c>
      <c r="B213" s="230">
        <f t="shared" si="16"/>
        <v>1300</v>
      </c>
      <c r="C213" s="202"/>
      <c r="D213" s="202"/>
      <c r="E213" s="202"/>
      <c r="F213" s="202">
        <f t="shared" si="18"/>
        <v>1300</v>
      </c>
      <c r="G213" s="133"/>
      <c r="H213" s="133">
        <v>1300</v>
      </c>
      <c r="I213" s="133"/>
      <c r="J213" s="133"/>
      <c r="K213" s="133"/>
      <c r="L213" s="133"/>
      <c r="M213" s="133"/>
      <c r="N213" s="133"/>
      <c r="O213" s="133"/>
      <c r="P213" s="133"/>
    </row>
    <row r="214" spans="1:16" ht="30" customHeight="1">
      <c r="A214" s="132" t="s">
        <v>103</v>
      </c>
      <c r="B214" s="230">
        <f t="shared" si="16"/>
        <v>96181</v>
      </c>
      <c r="C214" s="202">
        <f t="shared" si="19"/>
        <v>30359</v>
      </c>
      <c r="D214" s="202">
        <f>19600+3422+1542</f>
        <v>24564</v>
      </c>
      <c r="E214" s="202">
        <v>5795</v>
      </c>
      <c r="F214" s="202">
        <f t="shared" si="18"/>
        <v>65302</v>
      </c>
      <c r="G214" s="133"/>
      <c r="H214" s="133">
        <f>2854+H215</f>
        <v>3922</v>
      </c>
      <c r="I214" s="133">
        <f>50702+I215</f>
        <v>60702</v>
      </c>
      <c r="J214" s="133"/>
      <c r="K214" s="133">
        <f>450+K215</f>
        <v>678</v>
      </c>
      <c r="L214" s="133"/>
      <c r="M214" s="133"/>
      <c r="N214" s="133">
        <f>N215</f>
        <v>520</v>
      </c>
      <c r="O214" s="133"/>
      <c r="P214" s="133"/>
    </row>
    <row r="215" spans="1:16" ht="30" customHeight="1">
      <c r="A215" s="251" t="s">
        <v>833</v>
      </c>
      <c r="B215" s="230">
        <f t="shared" si="16"/>
        <v>11816</v>
      </c>
      <c r="C215" s="202">
        <f t="shared" si="19"/>
        <v>0</v>
      </c>
      <c r="D215" s="202"/>
      <c r="E215" s="202"/>
      <c r="F215" s="202">
        <f t="shared" si="18"/>
        <v>11296</v>
      </c>
      <c r="G215" s="133"/>
      <c r="H215" s="133">
        <v>1068</v>
      </c>
      <c r="I215" s="133">
        <v>10000</v>
      </c>
      <c r="J215" s="133"/>
      <c r="K215" s="133">
        <v>228</v>
      </c>
      <c r="L215" s="133"/>
      <c r="M215" s="133"/>
      <c r="N215" s="133">
        <v>520</v>
      </c>
      <c r="O215" s="133"/>
      <c r="P215" s="133"/>
    </row>
    <row r="216" spans="1:16" ht="30" customHeight="1">
      <c r="A216" s="132" t="s">
        <v>105</v>
      </c>
      <c r="B216" s="130">
        <f t="shared" si="16"/>
        <v>130809</v>
      </c>
      <c r="C216" s="202">
        <f t="shared" si="19"/>
        <v>34871</v>
      </c>
      <c r="D216" s="202">
        <f>22400+3887+1928</f>
        <v>28215</v>
      </c>
      <c r="E216" s="202">
        <v>6656</v>
      </c>
      <c r="F216" s="202">
        <f t="shared" si="18"/>
        <v>95031</v>
      </c>
      <c r="G216" s="133"/>
      <c r="H216" s="133">
        <v>8024</v>
      </c>
      <c r="I216" s="133">
        <f>60035+24350+I217</f>
        <v>86205</v>
      </c>
      <c r="J216" s="133"/>
      <c r="K216" s="133">
        <f>600+K217</f>
        <v>802</v>
      </c>
      <c r="L216" s="133"/>
      <c r="M216" s="133"/>
      <c r="N216" s="133">
        <f>N217</f>
        <v>907</v>
      </c>
      <c r="O216" s="133"/>
      <c r="P216" s="133"/>
    </row>
    <row r="217" spans="1:16" ht="30" customHeight="1">
      <c r="A217" s="251" t="s">
        <v>833</v>
      </c>
      <c r="B217" s="230">
        <f t="shared" si="16"/>
        <v>2929</v>
      </c>
      <c r="C217" s="202">
        <f t="shared" si="19"/>
        <v>0</v>
      </c>
      <c r="D217" s="202"/>
      <c r="E217" s="202"/>
      <c r="F217" s="202">
        <f t="shared" si="18"/>
        <v>2022</v>
      </c>
      <c r="G217" s="133"/>
      <c r="H217" s="133"/>
      <c r="I217" s="133">
        <v>1820</v>
      </c>
      <c r="J217" s="133"/>
      <c r="K217" s="133">
        <v>202</v>
      </c>
      <c r="L217" s="133"/>
      <c r="M217" s="133"/>
      <c r="N217" s="133">
        <v>907</v>
      </c>
      <c r="O217" s="133"/>
      <c r="P217" s="133"/>
    </row>
    <row r="218" spans="1:16" ht="24" customHeight="1">
      <c r="A218" s="131" t="s">
        <v>204</v>
      </c>
      <c r="B218" s="130">
        <f t="shared" si="16"/>
        <v>2840</v>
      </c>
      <c r="C218" s="202"/>
      <c r="D218" s="202"/>
      <c r="E218" s="202"/>
      <c r="F218" s="202">
        <f t="shared" si="18"/>
        <v>2840</v>
      </c>
      <c r="G218" s="133"/>
      <c r="H218" s="133">
        <v>2300</v>
      </c>
      <c r="I218" s="133">
        <v>340</v>
      </c>
      <c r="J218" s="133"/>
      <c r="K218" s="133">
        <v>200</v>
      </c>
      <c r="L218" s="133"/>
      <c r="M218" s="133"/>
      <c r="N218" s="133"/>
      <c r="O218" s="133"/>
      <c r="P218" s="133"/>
    </row>
    <row r="219" spans="1:16" ht="24.75" customHeight="1">
      <c r="A219" s="131" t="s">
        <v>203</v>
      </c>
      <c r="B219" s="130">
        <f>SUM(C219:F219,L219:P219)</f>
        <v>13901</v>
      </c>
      <c r="C219" s="202"/>
      <c r="D219" s="202"/>
      <c r="E219" s="202"/>
      <c r="F219" s="202">
        <f t="shared" si="18"/>
        <v>13901</v>
      </c>
      <c r="G219" s="133"/>
      <c r="H219" s="133">
        <f>13729+H220</f>
        <v>10429</v>
      </c>
      <c r="I219" s="133">
        <f>3654+I220</f>
        <v>3472</v>
      </c>
      <c r="J219" s="133"/>
      <c r="K219" s="133"/>
      <c r="L219" s="133"/>
      <c r="M219" s="133"/>
      <c r="N219" s="133"/>
      <c r="O219" s="133"/>
      <c r="P219" s="133"/>
    </row>
    <row r="220" spans="1:16" ht="24.75" customHeight="1">
      <c r="A220" s="250" t="s">
        <v>833</v>
      </c>
      <c r="B220" s="130">
        <f>SUM(C220:F220,L220:P220)</f>
        <v>-3482</v>
      </c>
      <c r="C220" s="202"/>
      <c r="D220" s="202"/>
      <c r="E220" s="202"/>
      <c r="F220" s="202">
        <f t="shared" si="18"/>
        <v>-3482</v>
      </c>
      <c r="G220" s="133"/>
      <c r="H220" s="133">
        <v>-3300</v>
      </c>
      <c r="I220" s="133">
        <v>-182</v>
      </c>
      <c r="J220" s="133"/>
      <c r="K220" s="133"/>
      <c r="L220" s="133"/>
      <c r="M220" s="133"/>
      <c r="N220" s="133"/>
      <c r="O220" s="133"/>
      <c r="P220" s="133"/>
    </row>
    <row r="221" spans="1:16" ht="30" customHeight="1">
      <c r="A221" s="132" t="s">
        <v>717</v>
      </c>
      <c r="B221" s="130">
        <f>SUM(C221+F221,L221:P221)</f>
        <v>5977</v>
      </c>
      <c r="C221" s="202"/>
      <c r="D221" s="202"/>
      <c r="E221" s="202"/>
      <c r="F221" s="202">
        <f t="shared" si="18"/>
        <v>5977</v>
      </c>
      <c r="G221" s="133"/>
      <c r="H221" s="133">
        <f>4094+H222</f>
        <v>5435</v>
      </c>
      <c r="I221" s="133">
        <f>I222</f>
        <v>112</v>
      </c>
      <c r="J221" s="133"/>
      <c r="K221" s="133">
        <f>200+K222</f>
        <v>430</v>
      </c>
      <c r="L221" s="133"/>
      <c r="M221" s="133"/>
      <c r="N221" s="133"/>
      <c r="O221" s="133"/>
      <c r="P221" s="133"/>
    </row>
    <row r="222" spans="1:16" ht="30" customHeight="1">
      <c r="A222" s="251" t="s">
        <v>833</v>
      </c>
      <c r="B222" s="130">
        <f>SUM(C222+F222,L222:P222)</f>
        <v>1683</v>
      </c>
      <c r="C222" s="202"/>
      <c r="D222" s="202"/>
      <c r="E222" s="202"/>
      <c r="F222" s="202">
        <f t="shared" si="18"/>
        <v>1683</v>
      </c>
      <c r="G222" s="133"/>
      <c r="H222" s="133">
        <f>417+924</f>
        <v>1341</v>
      </c>
      <c r="I222" s="133">
        <v>112</v>
      </c>
      <c r="J222" s="133"/>
      <c r="K222" s="133">
        <v>230</v>
      </c>
      <c r="L222" s="133"/>
      <c r="M222" s="133"/>
      <c r="N222" s="133"/>
      <c r="O222" s="133"/>
      <c r="P222" s="133"/>
    </row>
    <row r="223" spans="1:16" ht="35.25" customHeight="1">
      <c r="A223" s="132" t="s">
        <v>254</v>
      </c>
      <c r="B223" s="130">
        <f>SUM(C223+F223,L223:P223)</f>
        <v>5162</v>
      </c>
      <c r="C223" s="202"/>
      <c r="D223" s="202"/>
      <c r="E223" s="202"/>
      <c r="F223" s="202">
        <f t="shared" si="18"/>
        <v>5162</v>
      </c>
      <c r="G223" s="133"/>
      <c r="H223" s="133">
        <f>4299-200</f>
        <v>4099</v>
      </c>
      <c r="I223" s="133">
        <f>350+200</f>
        <v>550</v>
      </c>
      <c r="J223" s="133"/>
      <c r="K223" s="133">
        <v>513</v>
      </c>
      <c r="L223" s="133"/>
      <c r="M223" s="133"/>
      <c r="N223" s="133"/>
      <c r="O223" s="133"/>
      <c r="P223" s="133"/>
    </row>
    <row r="224" spans="1:16" ht="30" customHeight="1">
      <c r="A224" s="132" t="s">
        <v>718</v>
      </c>
      <c r="B224" s="130">
        <f>SUM(C224+F224,L224:P224)</f>
        <v>3252</v>
      </c>
      <c r="C224" s="202"/>
      <c r="D224" s="202"/>
      <c r="E224" s="202"/>
      <c r="F224" s="202">
        <f t="shared" si="18"/>
        <v>3252</v>
      </c>
      <c r="G224" s="133"/>
      <c r="H224" s="133">
        <f>2216+H225</f>
        <v>2332</v>
      </c>
      <c r="I224" s="133">
        <v>700</v>
      </c>
      <c r="J224" s="133"/>
      <c r="K224" s="133">
        <v>220</v>
      </c>
      <c r="L224" s="133"/>
      <c r="M224" s="133"/>
      <c r="N224" s="133"/>
      <c r="O224" s="133"/>
      <c r="P224" s="133"/>
    </row>
    <row r="225" spans="1:16" ht="30" customHeight="1">
      <c r="A225" s="251" t="s">
        <v>833</v>
      </c>
      <c r="B225" s="130">
        <f>SUM(C225+F225,L225:P225)</f>
        <v>116</v>
      </c>
      <c r="C225" s="202"/>
      <c r="D225" s="202"/>
      <c r="E225" s="202"/>
      <c r="F225" s="202">
        <f t="shared" si="18"/>
        <v>116</v>
      </c>
      <c r="G225" s="133"/>
      <c r="H225" s="133">
        <v>116</v>
      </c>
      <c r="I225" s="133"/>
      <c r="J225" s="133"/>
      <c r="K225" s="133"/>
      <c r="L225" s="133"/>
      <c r="M225" s="133"/>
      <c r="N225" s="133"/>
      <c r="O225" s="133"/>
      <c r="P225" s="133"/>
    </row>
    <row r="226" spans="1:16" ht="30" customHeight="1">
      <c r="A226" s="132" t="s">
        <v>246</v>
      </c>
      <c r="B226" s="130">
        <f>SUM(C226:F226,L226:P226)</f>
        <v>6101</v>
      </c>
      <c r="C226" s="202"/>
      <c r="D226" s="202"/>
      <c r="E226" s="202"/>
      <c r="F226" s="202">
        <f t="shared" si="18"/>
        <v>6101</v>
      </c>
      <c r="G226" s="133"/>
      <c r="H226" s="133">
        <f>3201+H227</f>
        <v>4306</v>
      </c>
      <c r="I226" s="133">
        <f>2900-92+I227</f>
        <v>1703</v>
      </c>
      <c r="J226" s="133"/>
      <c r="K226" s="133">
        <v>92</v>
      </c>
      <c r="L226" s="133"/>
      <c r="M226" s="133"/>
      <c r="N226" s="133"/>
      <c r="O226" s="133"/>
      <c r="P226" s="133"/>
    </row>
    <row r="227" spans="1:16" ht="30" customHeight="1">
      <c r="A227" s="251" t="s">
        <v>833</v>
      </c>
      <c r="B227" s="130">
        <f>SUM(C227:F227,L227:P227)</f>
        <v>0</v>
      </c>
      <c r="C227" s="202"/>
      <c r="D227" s="202"/>
      <c r="E227" s="202"/>
      <c r="F227" s="202">
        <f t="shared" si="18"/>
        <v>0</v>
      </c>
      <c r="G227" s="133"/>
      <c r="H227" s="133">
        <v>1105</v>
      </c>
      <c r="I227" s="133">
        <v>-1105</v>
      </c>
      <c r="J227" s="133"/>
      <c r="K227" s="133"/>
      <c r="L227" s="133"/>
      <c r="M227" s="133"/>
      <c r="N227" s="133"/>
      <c r="O227" s="133"/>
      <c r="P227" s="133"/>
    </row>
    <row r="228" spans="1:16" ht="30" customHeight="1">
      <c r="A228" s="132" t="s">
        <v>249</v>
      </c>
      <c r="B228" s="130">
        <f>SUM(C228+F228,L228:P228)</f>
        <v>5348</v>
      </c>
      <c r="C228" s="202"/>
      <c r="D228" s="202"/>
      <c r="E228" s="202"/>
      <c r="F228" s="202">
        <f t="shared" si="18"/>
        <v>5348</v>
      </c>
      <c r="G228" s="133"/>
      <c r="H228" s="133">
        <f>4898+H229</f>
        <v>4794</v>
      </c>
      <c r="I228" s="133">
        <f>20+I229</f>
        <v>88</v>
      </c>
      <c r="J228" s="133"/>
      <c r="K228" s="133">
        <f>430+K229</f>
        <v>466</v>
      </c>
      <c r="L228" s="133"/>
      <c r="M228" s="133"/>
      <c r="N228" s="133"/>
      <c r="O228" s="133"/>
      <c r="P228" s="133"/>
    </row>
    <row r="229" spans="1:16" ht="30" customHeight="1">
      <c r="A229" s="251" t="s">
        <v>833</v>
      </c>
      <c r="B229" s="130">
        <f>SUM(C229+F229,L229:P229)</f>
        <v>0</v>
      </c>
      <c r="C229" s="202"/>
      <c r="D229" s="202"/>
      <c r="E229" s="202"/>
      <c r="F229" s="202">
        <f t="shared" si="18"/>
        <v>0</v>
      </c>
      <c r="G229" s="133"/>
      <c r="H229" s="133">
        <v>-104</v>
      </c>
      <c r="I229" s="133">
        <v>68</v>
      </c>
      <c r="J229" s="133"/>
      <c r="K229" s="133">
        <v>36</v>
      </c>
      <c r="L229" s="133"/>
      <c r="M229" s="133"/>
      <c r="N229" s="133"/>
      <c r="O229" s="133"/>
      <c r="P229" s="133"/>
    </row>
    <row r="230" spans="1:16" ht="30" customHeight="1">
      <c r="A230" s="134" t="s">
        <v>114</v>
      </c>
      <c r="B230" s="130">
        <f>SUM(C230+F230,L230:P230)</f>
        <v>5000</v>
      </c>
      <c r="C230" s="202"/>
      <c r="D230" s="202"/>
      <c r="E230" s="202"/>
      <c r="F230" s="202">
        <f t="shared" si="18"/>
        <v>5000</v>
      </c>
      <c r="G230" s="133"/>
      <c r="H230" s="133">
        <v>3850</v>
      </c>
      <c r="I230" s="133">
        <v>700</v>
      </c>
      <c r="J230" s="133"/>
      <c r="K230" s="133">
        <v>450</v>
      </c>
      <c r="L230" s="133"/>
      <c r="M230" s="133"/>
      <c r="N230" s="133"/>
      <c r="O230" s="133"/>
      <c r="P230" s="133"/>
    </row>
    <row r="231" spans="1:16" ht="23.25" customHeight="1">
      <c r="A231" s="135" t="s">
        <v>150</v>
      </c>
      <c r="B231" s="130">
        <f>SUM(C231+F231,L231:P231)</f>
        <v>6390</v>
      </c>
      <c r="C231" s="213"/>
      <c r="D231" s="214"/>
      <c r="E231" s="214"/>
      <c r="F231" s="202">
        <f>SUM(G231:K231)</f>
        <v>6390</v>
      </c>
      <c r="G231" s="133"/>
      <c r="H231" s="133">
        <f>4600+101+170+H232</f>
        <v>4802</v>
      </c>
      <c r="I231" s="133">
        <f>100+1274-170+I232</f>
        <v>1015</v>
      </c>
      <c r="J231" s="133"/>
      <c r="K231" s="133">
        <f>900+(-475)+K232</f>
        <v>573</v>
      </c>
      <c r="L231" s="133"/>
      <c r="M231" s="133"/>
      <c r="N231" s="159"/>
      <c r="O231" s="133"/>
      <c r="P231" s="133"/>
    </row>
    <row r="232" spans="1:16" ht="23.25" customHeight="1">
      <c r="A232" s="253" t="s">
        <v>833</v>
      </c>
      <c r="B232" s="130">
        <f>SUM(C232+F232,L232:P232)</f>
        <v>-110</v>
      </c>
      <c r="C232" s="213"/>
      <c r="D232" s="214"/>
      <c r="E232" s="214"/>
      <c r="F232" s="202">
        <f>SUM(G232:K232)</f>
        <v>-110</v>
      </c>
      <c r="G232" s="133"/>
      <c r="H232" s="133">
        <v>-69</v>
      </c>
      <c r="I232" s="133">
        <v>-189</v>
      </c>
      <c r="J232" s="133"/>
      <c r="K232" s="133">
        <v>148</v>
      </c>
      <c r="L232" s="133"/>
      <c r="M232" s="133"/>
      <c r="N232" s="157"/>
      <c r="O232" s="133"/>
      <c r="P232" s="133"/>
    </row>
    <row r="233" spans="1:16" ht="30" customHeight="1">
      <c r="A233" s="132" t="s">
        <v>719</v>
      </c>
      <c r="B233" s="130">
        <f>SUM(C233:F233,L233:P233)</f>
        <v>3353</v>
      </c>
      <c r="C233" s="213"/>
      <c r="D233" s="213"/>
      <c r="E233" s="213"/>
      <c r="F233" s="202">
        <f t="shared" si="18"/>
        <v>2802</v>
      </c>
      <c r="G233" s="133"/>
      <c r="H233" s="133">
        <f>2930-450+H234</f>
        <v>2640</v>
      </c>
      <c r="I233" s="133">
        <f>203-126</f>
        <v>77</v>
      </c>
      <c r="J233" s="133"/>
      <c r="K233" s="133">
        <f>60+25</f>
        <v>85</v>
      </c>
      <c r="L233" s="133"/>
      <c r="M233" s="133"/>
      <c r="N233" s="157">
        <v>551</v>
      </c>
      <c r="O233" s="133"/>
      <c r="P233" s="133"/>
    </row>
    <row r="234" spans="1:16" ht="30" customHeight="1">
      <c r="A234" s="251" t="s">
        <v>833</v>
      </c>
      <c r="B234" s="130">
        <f>SUM(C234:F234,L234:P234)</f>
        <v>160</v>
      </c>
      <c r="C234" s="213"/>
      <c r="D234" s="213"/>
      <c r="E234" s="213"/>
      <c r="F234" s="202">
        <f t="shared" si="18"/>
        <v>160</v>
      </c>
      <c r="G234" s="133"/>
      <c r="H234" s="133">
        <v>160</v>
      </c>
      <c r="I234" s="133"/>
      <c r="J234" s="133"/>
      <c r="K234" s="133"/>
      <c r="L234" s="133"/>
      <c r="M234" s="133"/>
      <c r="N234" s="157"/>
      <c r="O234" s="133"/>
      <c r="P234" s="133"/>
    </row>
    <row r="235" spans="1:16" ht="30" customHeight="1">
      <c r="A235" s="134" t="s">
        <v>107</v>
      </c>
      <c r="B235" s="130">
        <f t="shared" si="20" ref="B235:B250">SUM(C235+F235,L235:P235)</f>
        <v>7036</v>
      </c>
      <c r="C235" s="202"/>
      <c r="D235" s="202"/>
      <c r="E235" s="202"/>
      <c r="F235" s="202">
        <f t="shared" si="18"/>
        <v>5436</v>
      </c>
      <c r="G235" s="133"/>
      <c r="H235" s="133">
        <v>4953</v>
      </c>
      <c r="I235" s="133">
        <v>260</v>
      </c>
      <c r="J235" s="133"/>
      <c r="K235" s="133">
        <v>223</v>
      </c>
      <c r="L235" s="133"/>
      <c r="M235" s="133"/>
      <c r="N235" s="133">
        <v>1600</v>
      </c>
      <c r="O235" s="133"/>
      <c r="P235" s="133"/>
    </row>
    <row r="236" spans="1:16" ht="30" customHeight="1">
      <c r="A236" s="134" t="s">
        <v>111</v>
      </c>
      <c r="B236" s="130">
        <f t="shared" si="20"/>
        <v>4729</v>
      </c>
      <c r="C236" s="202"/>
      <c r="D236" s="202"/>
      <c r="E236" s="202"/>
      <c r="F236" s="202">
        <f t="shared" si="18"/>
        <v>4729</v>
      </c>
      <c r="G236" s="133"/>
      <c r="H236" s="133">
        <f>2330+H237</f>
        <v>3872</v>
      </c>
      <c r="I236" s="133">
        <f>339+I237</f>
        <v>579</v>
      </c>
      <c r="J236" s="133"/>
      <c r="K236" s="133">
        <f>308+K237</f>
        <v>278</v>
      </c>
      <c r="L236" s="133"/>
      <c r="M236" s="133"/>
      <c r="N236" s="133"/>
      <c r="O236" s="133"/>
      <c r="P236" s="133"/>
    </row>
    <row r="237" spans="1:16" ht="30" customHeight="1">
      <c r="A237" s="252" t="s">
        <v>833</v>
      </c>
      <c r="B237" s="230">
        <f t="shared" si="20"/>
        <v>1752</v>
      </c>
      <c r="C237" s="257"/>
      <c r="D237" s="202"/>
      <c r="E237" s="202"/>
      <c r="F237" s="202">
        <f t="shared" si="18"/>
        <v>1752</v>
      </c>
      <c r="G237" s="133"/>
      <c r="H237" s="133">
        <v>1542</v>
      </c>
      <c r="I237" s="133">
        <v>240</v>
      </c>
      <c r="J237" s="133"/>
      <c r="K237" s="133">
        <v>-30</v>
      </c>
      <c r="L237" s="133"/>
      <c r="M237" s="133"/>
      <c r="N237" s="258"/>
      <c r="O237" s="133"/>
      <c r="P237" s="133"/>
    </row>
    <row r="238" spans="1:16" ht="30.75" customHeight="1">
      <c r="A238" s="136" t="s">
        <v>151</v>
      </c>
      <c r="B238" s="130">
        <f t="shared" si="20"/>
        <v>8950</v>
      </c>
      <c r="C238" s="212"/>
      <c r="D238" s="213"/>
      <c r="E238" s="213"/>
      <c r="F238" s="202">
        <f t="shared" si="18"/>
        <v>8950</v>
      </c>
      <c r="G238" s="133"/>
      <c r="H238" s="133">
        <f>4850+330+H239</f>
        <v>7980</v>
      </c>
      <c r="I238" s="133">
        <f>1800-330+(-500)+I239</f>
        <v>425</v>
      </c>
      <c r="J238" s="133"/>
      <c r="K238" s="133">
        <f>500+K239</f>
        <v>545</v>
      </c>
      <c r="L238" s="133"/>
      <c r="M238" s="133"/>
      <c r="N238" s="156"/>
      <c r="O238" s="133"/>
      <c r="P238" s="133"/>
    </row>
    <row r="239" spans="1:16" ht="21.6" customHeight="1">
      <c r="A239" s="253" t="s">
        <v>833</v>
      </c>
      <c r="B239" s="130">
        <f t="shared" si="20"/>
        <v>2300</v>
      </c>
      <c r="C239" s="215"/>
      <c r="D239" s="213"/>
      <c r="E239" s="213"/>
      <c r="F239" s="202">
        <f t="shared" si="18"/>
        <v>2300</v>
      </c>
      <c r="G239" s="133"/>
      <c r="H239" s="133">
        <f>500+2300</f>
        <v>2800</v>
      </c>
      <c r="I239" s="133">
        <v>-545</v>
      </c>
      <c r="J239" s="133"/>
      <c r="K239" s="133">
        <v>45</v>
      </c>
      <c r="L239" s="133"/>
      <c r="M239" s="133"/>
      <c r="N239" s="225"/>
      <c r="O239" s="133"/>
      <c r="P239" s="133"/>
    </row>
    <row r="240" spans="1:16" ht="30" customHeight="1">
      <c r="A240" s="134" t="s">
        <v>112</v>
      </c>
      <c r="B240" s="130">
        <f t="shared" si="20"/>
        <v>2127</v>
      </c>
      <c r="C240" s="202"/>
      <c r="D240" s="202"/>
      <c r="E240" s="202"/>
      <c r="F240" s="202">
        <f t="shared" si="18"/>
        <v>2127</v>
      </c>
      <c r="G240" s="133"/>
      <c r="H240" s="133">
        <v>1640</v>
      </c>
      <c r="I240" s="133">
        <v>200</v>
      </c>
      <c r="J240" s="133"/>
      <c r="K240" s="133">
        <v>287</v>
      </c>
      <c r="L240" s="133"/>
      <c r="M240" s="133"/>
      <c r="N240" s="133"/>
      <c r="O240" s="133"/>
      <c r="P240" s="133"/>
    </row>
    <row r="241" spans="1:16" ht="33.75" customHeight="1">
      <c r="A241" s="132" t="s">
        <v>257</v>
      </c>
      <c r="B241" s="130">
        <f t="shared" si="20"/>
        <v>9405</v>
      </c>
      <c r="C241" s="202"/>
      <c r="D241" s="202"/>
      <c r="E241" s="202"/>
      <c r="F241" s="202">
        <f t="shared" si="21" ref="F241:F272">SUM(G241:K241)</f>
        <v>9405</v>
      </c>
      <c r="G241" s="133"/>
      <c r="H241" s="133">
        <f>7601+H242</f>
        <v>8134</v>
      </c>
      <c r="I241" s="133">
        <f>984+I242</f>
        <v>394</v>
      </c>
      <c r="J241" s="133"/>
      <c r="K241" s="133">
        <f>820+K242</f>
        <v>877</v>
      </c>
      <c r="L241" s="133"/>
      <c r="M241" s="133"/>
      <c r="N241" s="133"/>
      <c r="O241" s="133"/>
      <c r="P241" s="133"/>
    </row>
    <row r="242" spans="1:16" ht="21" customHeight="1">
      <c r="A242" s="251" t="s">
        <v>833</v>
      </c>
      <c r="B242" s="130">
        <f t="shared" si="20"/>
        <v>0</v>
      </c>
      <c r="C242" s="202"/>
      <c r="D242" s="202"/>
      <c r="E242" s="202"/>
      <c r="F242" s="202">
        <f t="shared" si="21"/>
        <v>0</v>
      </c>
      <c r="G242" s="133"/>
      <c r="H242" s="133">
        <v>533</v>
      </c>
      <c r="I242" s="133">
        <v>-590</v>
      </c>
      <c r="J242" s="133"/>
      <c r="K242" s="133">
        <v>57</v>
      </c>
      <c r="L242" s="133"/>
      <c r="M242" s="133"/>
      <c r="N242" s="133"/>
      <c r="O242" s="133"/>
      <c r="P242" s="133"/>
    </row>
    <row r="243" spans="1:16" ht="30" customHeight="1">
      <c r="A243" s="134" t="s">
        <v>109</v>
      </c>
      <c r="B243" s="130">
        <f t="shared" si="20"/>
        <v>7107</v>
      </c>
      <c r="C243" s="202"/>
      <c r="D243" s="202"/>
      <c r="E243" s="202"/>
      <c r="F243" s="202">
        <f t="shared" si="21"/>
        <v>7107</v>
      </c>
      <c r="G243" s="133"/>
      <c r="H243" s="133">
        <f>1840+H244</f>
        <v>5342</v>
      </c>
      <c r="I243" s="133">
        <f>1560+I244</f>
        <v>1560</v>
      </c>
      <c r="J243" s="133"/>
      <c r="K243" s="133">
        <v>205</v>
      </c>
      <c r="L243" s="133"/>
      <c r="M243" s="133"/>
      <c r="N243" s="133"/>
      <c r="O243" s="133"/>
      <c r="P243" s="133"/>
    </row>
    <row r="244" spans="1:16" ht="30" customHeight="1">
      <c r="A244" s="251" t="s">
        <v>833</v>
      </c>
      <c r="B244" s="230">
        <f t="shared" si="20"/>
        <v>3502</v>
      </c>
      <c r="C244" s="202"/>
      <c r="D244" s="202"/>
      <c r="E244" s="202"/>
      <c r="F244" s="202">
        <f t="shared" si="21"/>
        <v>3502</v>
      </c>
      <c r="G244" s="133"/>
      <c r="H244" s="133">
        <v>3502</v>
      </c>
      <c r="I244" s="133"/>
      <c r="J244" s="133"/>
      <c r="K244" s="133"/>
      <c r="L244" s="133"/>
      <c r="M244" s="133"/>
      <c r="N244" s="133"/>
      <c r="O244" s="133"/>
      <c r="P244" s="133"/>
    </row>
    <row r="245" spans="1:16" ht="30" customHeight="1">
      <c r="A245" s="134" t="s">
        <v>710</v>
      </c>
      <c r="B245" s="130">
        <f t="shared" si="20"/>
        <v>5659</v>
      </c>
      <c r="C245" s="202"/>
      <c r="D245" s="202"/>
      <c r="E245" s="202"/>
      <c r="F245" s="202">
        <f t="shared" si="21"/>
        <v>4940</v>
      </c>
      <c r="G245" s="133"/>
      <c r="H245" s="133">
        <f>5009+H246</f>
        <v>4610</v>
      </c>
      <c r="I245" s="133">
        <f>650+I246</f>
        <v>330</v>
      </c>
      <c r="J245" s="133"/>
      <c r="K245" s="133"/>
      <c r="L245" s="133"/>
      <c r="M245" s="133"/>
      <c r="N245" s="133">
        <f>N246</f>
        <v>719</v>
      </c>
      <c r="O245" s="133"/>
      <c r="P245" s="133"/>
    </row>
    <row r="246" spans="1:16" ht="30" customHeight="1">
      <c r="A246" s="251" t="s">
        <v>833</v>
      </c>
      <c r="B246" s="230">
        <f t="shared" si="20"/>
        <v>0</v>
      </c>
      <c r="C246" s="202"/>
      <c r="D246" s="202"/>
      <c r="E246" s="202"/>
      <c r="F246" s="202">
        <f t="shared" si="21"/>
        <v>-719</v>
      </c>
      <c r="G246" s="133"/>
      <c r="H246" s="133">
        <v>-399</v>
      </c>
      <c r="I246" s="133">
        <v>-320</v>
      </c>
      <c r="J246" s="133"/>
      <c r="K246" s="133"/>
      <c r="L246" s="133"/>
      <c r="M246" s="133"/>
      <c r="N246" s="133">
        <v>719</v>
      </c>
      <c r="O246" s="133"/>
      <c r="P246" s="133"/>
    </row>
    <row r="247" spans="1:16" ht="30" customHeight="1">
      <c r="A247" s="132" t="s">
        <v>117</v>
      </c>
      <c r="B247" s="130">
        <f t="shared" si="20"/>
        <v>4464</v>
      </c>
      <c r="C247" s="202"/>
      <c r="D247" s="202"/>
      <c r="E247" s="202"/>
      <c r="F247" s="202">
        <f t="shared" si="21"/>
        <v>4464</v>
      </c>
      <c r="G247" s="133"/>
      <c r="H247" s="133">
        <f>3610+H248</f>
        <v>4060</v>
      </c>
      <c r="I247" s="133">
        <v>280</v>
      </c>
      <c r="J247" s="133"/>
      <c r="K247" s="133">
        <f>84+K248</f>
        <v>124</v>
      </c>
      <c r="L247" s="133"/>
      <c r="M247" s="133"/>
      <c r="N247" s="133"/>
      <c r="O247" s="133"/>
      <c r="P247" s="133"/>
    </row>
    <row r="248" spans="1:16" ht="30" customHeight="1">
      <c r="A248" s="251" t="s">
        <v>833</v>
      </c>
      <c r="B248" s="230">
        <f t="shared" si="20"/>
        <v>490</v>
      </c>
      <c r="C248" s="202"/>
      <c r="D248" s="202"/>
      <c r="E248" s="202"/>
      <c r="F248" s="202">
        <f t="shared" si="21"/>
        <v>490</v>
      </c>
      <c r="G248" s="133"/>
      <c r="H248" s="133">
        <v>450</v>
      </c>
      <c r="I248" s="133"/>
      <c r="J248" s="133"/>
      <c r="K248" s="133">
        <v>40</v>
      </c>
      <c r="L248" s="133"/>
      <c r="M248" s="133"/>
      <c r="N248" s="133"/>
      <c r="O248" s="133"/>
      <c r="P248" s="133"/>
    </row>
    <row r="249" spans="1:16" ht="30" customHeight="1">
      <c r="A249" s="132" t="s">
        <v>104</v>
      </c>
      <c r="B249" s="130">
        <f t="shared" si="20"/>
        <v>37259</v>
      </c>
      <c r="C249" s="202">
        <f>D249+E249</f>
        <v>25313</v>
      </c>
      <c r="D249" s="202">
        <f>22248+940-4638+D250</f>
        <v>20237</v>
      </c>
      <c r="E249" s="202">
        <f>4376+E250</f>
        <v>5076</v>
      </c>
      <c r="F249" s="202">
        <f t="shared" si="21"/>
        <v>8869</v>
      </c>
      <c r="G249" s="133"/>
      <c r="H249" s="133">
        <f>3299+H250</f>
        <v>4299</v>
      </c>
      <c r="I249" s="133">
        <v>2970</v>
      </c>
      <c r="J249" s="133"/>
      <c r="K249" s="133">
        <v>1600</v>
      </c>
      <c r="L249" s="133"/>
      <c r="M249" s="133"/>
      <c r="N249" s="133">
        <f>N250</f>
        <v>3077</v>
      </c>
      <c r="O249" s="133"/>
      <c r="P249" s="133"/>
    </row>
    <row r="250" spans="1:16" ht="30" customHeight="1">
      <c r="A250" s="251" t="s">
        <v>833</v>
      </c>
      <c r="B250" s="230">
        <f t="shared" si="20"/>
        <v>6464</v>
      </c>
      <c r="C250" s="202">
        <f>D250+E250</f>
        <v>2387</v>
      </c>
      <c r="D250" s="202">
        <v>1687</v>
      </c>
      <c r="E250" s="202">
        <v>700</v>
      </c>
      <c r="F250" s="202">
        <f t="shared" si="21"/>
        <v>1000</v>
      </c>
      <c r="G250" s="133"/>
      <c r="H250" s="133">
        <v>1000</v>
      </c>
      <c r="I250" s="133"/>
      <c r="J250" s="133"/>
      <c r="K250" s="133"/>
      <c r="L250" s="133"/>
      <c r="M250" s="133"/>
      <c r="N250" s="133">
        <v>3077</v>
      </c>
      <c r="O250" s="133"/>
      <c r="P250" s="133"/>
    </row>
    <row r="251" spans="1:16" ht="30" customHeight="1">
      <c r="A251" s="132" t="s">
        <v>726</v>
      </c>
      <c r="B251" s="130">
        <f>SUM(C251:F251,L251:P251)</f>
        <v>2660</v>
      </c>
      <c r="C251" s="202"/>
      <c r="D251" s="202"/>
      <c r="E251" s="202"/>
      <c r="F251" s="202">
        <f t="shared" si="21"/>
        <v>2660</v>
      </c>
      <c r="G251" s="133"/>
      <c r="H251" s="133">
        <f>2560+H252</f>
        <v>1881</v>
      </c>
      <c r="I251" s="133">
        <f>I252</f>
        <v>494</v>
      </c>
      <c r="J251" s="133"/>
      <c r="K251" s="133">
        <f>K252</f>
        <v>285</v>
      </c>
      <c r="L251" s="133"/>
      <c r="M251" s="133"/>
      <c r="N251" s="133">
        <f>N252</f>
        <v>0</v>
      </c>
      <c r="O251" s="133"/>
      <c r="P251" s="133"/>
    </row>
    <row r="252" spans="1:16" ht="30" customHeight="1">
      <c r="A252" s="251" t="s">
        <v>833</v>
      </c>
      <c r="B252" s="130">
        <f>SUM(C252:F252,L252:P252)</f>
        <v>100</v>
      </c>
      <c r="C252" s="202"/>
      <c r="D252" s="202"/>
      <c r="E252" s="202"/>
      <c r="F252" s="202">
        <f t="shared" si="21"/>
        <v>100</v>
      </c>
      <c r="G252" s="133"/>
      <c r="H252" s="133">
        <v>-679</v>
      </c>
      <c r="I252" s="133">
        <v>494</v>
      </c>
      <c r="J252" s="133"/>
      <c r="K252" s="133">
        <v>285</v>
      </c>
      <c r="L252" s="133"/>
      <c r="M252" s="133"/>
      <c r="N252" s="133"/>
      <c r="O252" s="133"/>
      <c r="P252" s="133"/>
    </row>
    <row r="253" spans="1:16" ht="30" customHeight="1">
      <c r="A253" s="132" t="s">
        <v>119</v>
      </c>
      <c r="B253" s="130">
        <f>SUM(C253+F253,L253:P253)</f>
        <v>13790</v>
      </c>
      <c r="C253" s="202">
        <f>D253+E253</f>
        <v>10371</v>
      </c>
      <c r="D253" s="202">
        <v>7311</v>
      </c>
      <c r="E253" s="202">
        <f>1725+E254</f>
        <v>3060</v>
      </c>
      <c r="F253" s="202">
        <f t="shared" si="21"/>
        <v>3419</v>
      </c>
      <c r="G253" s="133"/>
      <c r="H253" s="133">
        <v>1479</v>
      </c>
      <c r="I253" s="133">
        <v>1400</v>
      </c>
      <c r="J253" s="133"/>
      <c r="K253" s="133">
        <f>451+K254</f>
        <v>540</v>
      </c>
      <c r="L253" s="133"/>
      <c r="M253" s="133"/>
      <c r="N253" s="133"/>
      <c r="O253" s="133"/>
      <c r="P253" s="133"/>
    </row>
    <row r="254" spans="1:16" ht="30" customHeight="1">
      <c r="A254" s="252" t="s">
        <v>833</v>
      </c>
      <c r="B254" s="230">
        <f>SUM(C254+F254,L254:P254)</f>
        <v>1424</v>
      </c>
      <c r="C254" s="202">
        <f>D254+E254</f>
        <v>1335</v>
      </c>
      <c r="D254" s="202"/>
      <c r="E254" s="202">
        <v>1335</v>
      </c>
      <c r="F254" s="202">
        <f t="shared" si="21"/>
        <v>89</v>
      </c>
      <c r="G254" s="133"/>
      <c r="H254" s="133"/>
      <c r="I254" s="133"/>
      <c r="J254" s="133"/>
      <c r="K254" s="133">
        <v>89</v>
      </c>
      <c r="L254" s="133"/>
      <c r="M254" s="133"/>
      <c r="N254" s="258"/>
      <c r="O254" s="133"/>
      <c r="P254" s="133"/>
    </row>
    <row r="255" spans="1:16" ht="30" customHeight="1">
      <c r="A255" s="136" t="s">
        <v>147</v>
      </c>
      <c r="B255" s="130">
        <f>SUM(C255:F255,L255:P255)</f>
        <v>26000</v>
      </c>
      <c r="C255" s="212"/>
      <c r="D255" s="213"/>
      <c r="E255" s="215"/>
      <c r="F255" s="202">
        <f t="shared" si="21"/>
        <v>0</v>
      </c>
      <c r="G255" s="133"/>
      <c r="H255" s="133"/>
      <c r="I255" s="133"/>
      <c r="J255" s="133"/>
      <c r="K255" s="133"/>
      <c r="L255" s="133"/>
      <c r="M255" s="133"/>
      <c r="N255" s="156">
        <v>26000</v>
      </c>
      <c r="O255" s="133"/>
      <c r="P255" s="133"/>
    </row>
    <row r="256" spans="1:16" s="120" customFormat="1" ht="15" customHeight="1">
      <c r="A256" s="132" t="s">
        <v>30</v>
      </c>
      <c r="B256" s="130">
        <f t="shared" si="22" ref="B256:B328">SUM(C256+F256,L256:P256)</f>
        <v>13943</v>
      </c>
      <c r="C256" s="133">
        <f>D256+E256</f>
        <v>11340</v>
      </c>
      <c r="D256" s="133">
        <f>8328+840</f>
        <v>9168</v>
      </c>
      <c r="E256" s="133">
        <v>2172</v>
      </c>
      <c r="F256" s="228">
        <f>SUM(G256:P256)</f>
        <v>2603</v>
      </c>
      <c r="G256" s="133"/>
      <c r="H256" s="133">
        <v>1361</v>
      </c>
      <c r="I256" s="133">
        <v>1242</v>
      </c>
      <c r="J256" s="133"/>
      <c r="K256" s="133"/>
      <c r="L256" s="133"/>
      <c r="M256" s="133"/>
      <c r="N256" s="133"/>
      <c r="O256" s="133"/>
      <c r="P256" s="133"/>
    </row>
    <row r="257" spans="1:16" s="120" customFormat="1" ht="15" customHeight="1">
      <c r="A257" s="132" t="s">
        <v>31</v>
      </c>
      <c r="B257" s="130">
        <f t="shared" si="22"/>
        <v>15089</v>
      </c>
      <c r="C257" s="133">
        <f t="shared" si="23" ref="C257:C267">D257+E257</f>
        <v>12486</v>
      </c>
      <c r="D257" s="133">
        <f>2180+7818</f>
        <v>9998</v>
      </c>
      <c r="E257" s="133">
        <v>2488</v>
      </c>
      <c r="F257" s="133">
        <f>SUM(G257:K257)</f>
        <v>2603</v>
      </c>
      <c r="G257" s="133"/>
      <c r="H257" s="133">
        <v>1114</v>
      </c>
      <c r="I257" s="133">
        <v>1489</v>
      </c>
      <c r="J257" s="133"/>
      <c r="K257" s="133"/>
      <c r="L257" s="133"/>
      <c r="M257" s="133"/>
      <c r="N257" s="133"/>
      <c r="O257" s="133"/>
      <c r="P257" s="133"/>
    </row>
    <row r="258" spans="1:16" s="120" customFormat="1" ht="15" customHeight="1">
      <c r="A258" s="132" t="s">
        <v>32</v>
      </c>
      <c r="B258" s="130">
        <f t="shared" si="22"/>
        <v>13911</v>
      </c>
      <c r="C258" s="133">
        <f t="shared" si="23"/>
        <v>11308</v>
      </c>
      <c r="D258" s="133">
        <f>840+8441</f>
        <v>9281</v>
      </c>
      <c r="E258" s="133">
        <v>2027</v>
      </c>
      <c r="F258" s="133">
        <f t="shared" si="21"/>
        <v>2603</v>
      </c>
      <c r="G258" s="133"/>
      <c r="H258" s="133">
        <v>1281</v>
      </c>
      <c r="I258" s="133">
        <v>1322</v>
      </c>
      <c r="J258" s="133"/>
      <c r="K258" s="133"/>
      <c r="L258" s="133"/>
      <c r="M258" s="133"/>
      <c r="N258" s="133"/>
      <c r="O258" s="133"/>
      <c r="P258" s="133"/>
    </row>
    <row r="259" spans="1:16" s="120" customFormat="1" ht="15" customHeight="1">
      <c r="A259" s="132" t="s">
        <v>152</v>
      </c>
      <c r="B259" s="130">
        <f t="shared" si="22"/>
        <v>12896</v>
      </c>
      <c r="C259" s="133">
        <f>D259+E259</f>
        <v>10293</v>
      </c>
      <c r="D259" s="133">
        <f>8328</f>
        <v>8328</v>
      </c>
      <c r="E259" s="133">
        <v>1965</v>
      </c>
      <c r="F259" s="133">
        <f t="shared" si="21"/>
        <v>2603</v>
      </c>
      <c r="G259" s="133"/>
      <c r="H259" s="133">
        <v>1603</v>
      </c>
      <c r="I259" s="133">
        <v>1000</v>
      </c>
      <c r="J259" s="133"/>
      <c r="K259" s="133"/>
      <c r="L259" s="133"/>
      <c r="M259" s="133"/>
      <c r="N259" s="133"/>
      <c r="O259" s="133"/>
      <c r="P259" s="133"/>
    </row>
    <row r="260" spans="1:16" s="120" customFormat="1" ht="15" customHeight="1">
      <c r="A260" s="132" t="s">
        <v>33</v>
      </c>
      <c r="B260" s="130">
        <f t="shared" si="22"/>
        <v>13024</v>
      </c>
      <c r="C260" s="133">
        <f t="shared" si="23"/>
        <v>10421</v>
      </c>
      <c r="D260" s="133">
        <f>8328</f>
        <v>8328</v>
      </c>
      <c r="E260" s="133">
        <v>2093</v>
      </c>
      <c r="F260" s="133">
        <f t="shared" si="21"/>
        <v>2603</v>
      </c>
      <c r="G260" s="133"/>
      <c r="H260" s="133">
        <v>1179</v>
      </c>
      <c r="I260" s="133">
        <v>1424</v>
      </c>
      <c r="J260" s="133"/>
      <c r="K260" s="133"/>
      <c r="L260" s="133"/>
      <c r="M260" s="133"/>
      <c r="N260" s="133"/>
      <c r="O260" s="133"/>
      <c r="P260" s="133"/>
    </row>
    <row r="261" spans="1:16" s="120" customFormat="1" ht="17.25" customHeight="1">
      <c r="A261" s="135" t="s">
        <v>132</v>
      </c>
      <c r="B261" s="230">
        <f t="shared" si="22"/>
        <v>16208</v>
      </c>
      <c r="C261" s="237">
        <f t="shared" si="23"/>
        <v>13605</v>
      </c>
      <c r="D261" s="157">
        <f>3020+8001+D262</f>
        <v>11228</v>
      </c>
      <c r="E261" s="225">
        <f>2290+E262</f>
        <v>2377</v>
      </c>
      <c r="F261" s="194">
        <f t="shared" si="21"/>
        <v>2603</v>
      </c>
      <c r="G261" s="159"/>
      <c r="H261" s="159">
        <v>1321</v>
      </c>
      <c r="I261" s="159">
        <v>1282</v>
      </c>
      <c r="J261" s="159"/>
      <c r="K261" s="159"/>
      <c r="L261" s="159"/>
      <c r="M261" s="159"/>
      <c r="N261" s="159"/>
      <c r="O261" s="159"/>
      <c r="P261" s="159"/>
    </row>
    <row r="262" spans="1:16" s="120" customFormat="1" ht="19.5" customHeight="1">
      <c r="A262" s="253" t="s">
        <v>833</v>
      </c>
      <c r="B262" s="230">
        <f t="shared" si="22"/>
        <v>294</v>
      </c>
      <c r="C262" s="237">
        <f t="shared" si="23"/>
        <v>294</v>
      </c>
      <c r="D262" s="157">
        <v>207</v>
      </c>
      <c r="E262" s="157">
        <v>87</v>
      </c>
      <c r="F262" s="133"/>
      <c r="G262" s="157"/>
      <c r="H262" s="157"/>
      <c r="I262" s="157"/>
      <c r="J262" s="157"/>
      <c r="K262" s="157"/>
      <c r="L262" s="157"/>
      <c r="M262" s="157"/>
      <c r="N262" s="157"/>
      <c r="O262" s="157"/>
      <c r="P262" s="157"/>
    </row>
    <row r="263" spans="1:16" s="120" customFormat="1" ht="17.25" customHeight="1">
      <c r="A263" s="132" t="s">
        <v>127</v>
      </c>
      <c r="B263" s="130">
        <f t="shared" si="22"/>
        <v>15620</v>
      </c>
      <c r="C263" s="133">
        <f t="shared" si="23"/>
        <v>13017</v>
      </c>
      <c r="D263" s="133">
        <f>2100+8328</f>
        <v>10428</v>
      </c>
      <c r="E263" s="133">
        <f>624+1965</f>
        <v>2589</v>
      </c>
      <c r="F263" s="133">
        <f t="shared" si="21"/>
        <v>2603</v>
      </c>
      <c r="G263" s="133"/>
      <c r="H263" s="133">
        <v>810</v>
      </c>
      <c r="I263" s="133">
        <v>1793</v>
      </c>
      <c r="J263" s="133"/>
      <c r="K263" s="133"/>
      <c r="L263" s="133"/>
      <c r="M263" s="133"/>
      <c r="N263" s="133"/>
      <c r="O263" s="133"/>
      <c r="P263" s="133"/>
    </row>
    <row r="264" spans="1:16" ht="21" customHeight="1">
      <c r="A264" s="132" t="s">
        <v>34</v>
      </c>
      <c r="B264" s="130">
        <f t="shared" si="22"/>
        <v>16826</v>
      </c>
      <c r="C264" s="202">
        <f t="shared" si="23"/>
        <v>13223</v>
      </c>
      <c r="D264" s="202">
        <f>2267+8328</f>
        <v>10595</v>
      </c>
      <c r="E264" s="202">
        <f>663+1965</f>
        <v>2628</v>
      </c>
      <c r="F264" s="202">
        <f t="shared" si="21"/>
        <v>3603</v>
      </c>
      <c r="G264" s="133"/>
      <c r="H264" s="133">
        <v>890</v>
      </c>
      <c r="I264" s="133">
        <f>1000+1713</f>
        <v>2713</v>
      </c>
      <c r="J264" s="133"/>
      <c r="K264" s="133"/>
      <c r="L264" s="133"/>
      <c r="M264" s="133"/>
      <c r="N264" s="133"/>
      <c r="O264" s="133"/>
      <c r="P264" s="133"/>
    </row>
    <row r="265" spans="1:16" ht="15.75" customHeight="1">
      <c r="A265" s="132" t="s">
        <v>35</v>
      </c>
      <c r="B265" s="130">
        <f t="shared" si="22"/>
        <v>13024</v>
      </c>
      <c r="C265" s="202">
        <f t="shared" si="23"/>
        <v>10421</v>
      </c>
      <c r="D265" s="202">
        <f>8328</f>
        <v>8328</v>
      </c>
      <c r="E265" s="202">
        <v>2093</v>
      </c>
      <c r="F265" s="202">
        <f t="shared" si="21"/>
        <v>2603</v>
      </c>
      <c r="G265" s="133"/>
      <c r="H265" s="133">
        <v>1399</v>
      </c>
      <c r="I265" s="133">
        <v>1204</v>
      </c>
      <c r="J265" s="133"/>
      <c r="K265" s="133"/>
      <c r="L265" s="133"/>
      <c r="M265" s="133"/>
      <c r="N265" s="133"/>
      <c r="O265" s="133"/>
      <c r="P265" s="133"/>
    </row>
    <row r="266" spans="1:16" ht="35.25" customHeight="1">
      <c r="A266" s="135" t="s">
        <v>188</v>
      </c>
      <c r="B266" s="231">
        <f t="shared" si="22"/>
        <v>25055</v>
      </c>
      <c r="C266" s="278">
        <f t="shared" si="23"/>
        <v>16254</v>
      </c>
      <c r="D266" s="215">
        <f>8923+D267</f>
        <v>12599</v>
      </c>
      <c r="E266" s="214">
        <f>2105+E267</f>
        <v>3655</v>
      </c>
      <c r="F266" s="216">
        <f t="shared" si="21"/>
        <v>8801</v>
      </c>
      <c r="G266" s="159"/>
      <c r="H266" s="159">
        <v>3366</v>
      </c>
      <c r="I266" s="159">
        <v>5435</v>
      </c>
      <c r="J266" s="159"/>
      <c r="K266" s="159"/>
      <c r="L266" s="159"/>
      <c r="M266" s="159"/>
      <c r="N266" s="159"/>
      <c r="O266" s="159"/>
      <c r="P266" s="159"/>
    </row>
    <row r="267" spans="1:16" ht="30" customHeight="1">
      <c r="A267" s="253" t="s">
        <v>833</v>
      </c>
      <c r="B267" s="283">
        <f t="shared" si="22"/>
        <v>5226</v>
      </c>
      <c r="C267" s="278">
        <f t="shared" si="23"/>
        <v>5226</v>
      </c>
      <c r="D267" s="213">
        <f>2176+1500</f>
        <v>3676</v>
      </c>
      <c r="E267" s="213">
        <f>1201+349</f>
        <v>1550</v>
      </c>
      <c r="F267" s="202"/>
      <c r="G267" s="157"/>
      <c r="H267" s="157"/>
      <c r="I267" s="157"/>
      <c r="J267" s="157"/>
      <c r="K267" s="157"/>
      <c r="L267" s="157"/>
      <c r="M267" s="157"/>
      <c r="N267" s="157"/>
      <c r="O267" s="157"/>
      <c r="P267" s="157"/>
    </row>
    <row r="268" spans="1:16" ht="20.25" customHeight="1">
      <c r="A268" s="134" t="s">
        <v>176</v>
      </c>
      <c r="B268" s="130">
        <f t="shared" si="22"/>
        <v>78323</v>
      </c>
      <c r="C268" s="202">
        <f>D268+E268</f>
        <v>71539</v>
      </c>
      <c r="D268" s="202">
        <v>56333</v>
      </c>
      <c r="E268" s="202">
        <f>13805+E269</f>
        <v>15206</v>
      </c>
      <c r="F268" s="202">
        <f t="shared" si="21"/>
        <v>6784</v>
      </c>
      <c r="G268" s="133">
        <f>80+40</f>
        <v>120</v>
      </c>
      <c r="H268" s="133">
        <f>575+(-40)+H269</f>
        <v>905</v>
      </c>
      <c r="I268" s="133">
        <f>6129+I269</f>
        <v>5759</v>
      </c>
      <c r="J268" s="133"/>
      <c r="K268" s="133"/>
      <c r="L268" s="133"/>
      <c r="M268" s="133"/>
      <c r="N268" s="133"/>
      <c r="O268" s="133"/>
      <c r="P268" s="133"/>
    </row>
    <row r="269" spans="1:16" ht="20.25" customHeight="1">
      <c r="A269" s="251" t="s">
        <v>833</v>
      </c>
      <c r="B269" s="130">
        <f>SUM(C269+F269,L269:P269)</f>
        <v>1401</v>
      </c>
      <c r="C269" s="202">
        <f t="shared" si="24" ref="C269:C274">D269+E269</f>
        <v>1401</v>
      </c>
      <c r="D269" s="202"/>
      <c r="E269" s="202">
        <v>1401</v>
      </c>
      <c r="F269" s="202">
        <f t="shared" si="21"/>
        <v>0</v>
      </c>
      <c r="G269" s="133"/>
      <c r="H269" s="133">
        <v>370</v>
      </c>
      <c r="I269" s="133">
        <v>-370</v>
      </c>
      <c r="J269" s="133"/>
      <c r="K269" s="133"/>
      <c r="L269" s="133"/>
      <c r="M269" s="133"/>
      <c r="N269" s="133"/>
      <c r="O269" s="133"/>
      <c r="P269" s="133"/>
    </row>
    <row r="270" spans="1:16" s="120" customFormat="1" ht="30" customHeight="1">
      <c r="A270" s="134" t="s">
        <v>206</v>
      </c>
      <c r="B270" s="130">
        <f>SUM(C270+F270,L270:P270)</f>
        <v>32894</v>
      </c>
      <c r="C270" s="133">
        <f t="shared" si="24"/>
        <v>2860</v>
      </c>
      <c r="D270" s="133">
        <f>2860-294+D271</f>
        <v>2203</v>
      </c>
      <c r="E270" s="133">
        <f>294+E271</f>
        <v>657</v>
      </c>
      <c r="F270" s="133">
        <f t="shared" si="21"/>
        <v>30034</v>
      </c>
      <c r="G270" s="133">
        <f>3484+(-400)+G271</f>
        <v>490</v>
      </c>
      <c r="H270" s="133">
        <f>12505+4400+H271</f>
        <v>15633</v>
      </c>
      <c r="I270" s="133">
        <f>14045+(-4000)+I271</f>
        <v>13911</v>
      </c>
      <c r="J270" s="133"/>
      <c r="K270" s="133"/>
      <c r="L270" s="133"/>
      <c r="M270" s="133"/>
      <c r="N270" s="133"/>
      <c r="O270" s="133"/>
      <c r="P270" s="133"/>
    </row>
    <row r="271" spans="1:16" s="120" customFormat="1" ht="30" customHeight="1">
      <c r="A271" s="251" t="s">
        <v>833</v>
      </c>
      <c r="B271" s="130">
        <f>SUM(C271+F271,L271:P271)</f>
        <v>0</v>
      </c>
      <c r="C271" s="133">
        <f t="shared" si="24"/>
        <v>0</v>
      </c>
      <c r="D271" s="133">
        <v>-363</v>
      </c>
      <c r="E271" s="133">
        <v>363</v>
      </c>
      <c r="F271" s="133">
        <f t="shared" si="21"/>
        <v>0</v>
      </c>
      <c r="G271" s="133">
        <v>-2594</v>
      </c>
      <c r="H271" s="133">
        <v>-1272</v>
      </c>
      <c r="I271" s="133">
        <v>3866</v>
      </c>
      <c r="J271" s="133"/>
      <c r="K271" s="133"/>
      <c r="L271" s="133"/>
      <c r="M271" s="133"/>
      <c r="N271" s="133"/>
      <c r="O271" s="133"/>
      <c r="P271" s="133"/>
    </row>
    <row r="272" spans="1:16" s="120" customFormat="1" ht="27.75" customHeight="1">
      <c r="A272" s="132" t="s">
        <v>776</v>
      </c>
      <c r="B272" s="130">
        <f t="shared" si="22"/>
        <v>19169</v>
      </c>
      <c r="C272" s="202">
        <f t="shared" si="24"/>
        <v>400</v>
      </c>
      <c r="D272" s="202">
        <v>320</v>
      </c>
      <c r="E272" s="202">
        <v>80</v>
      </c>
      <c r="F272" s="202">
        <f t="shared" si="21"/>
        <v>18769</v>
      </c>
      <c r="G272" s="133">
        <v>7713</v>
      </c>
      <c r="H272" s="133">
        <v>1300</v>
      </c>
      <c r="I272" s="133">
        <v>9756</v>
      </c>
      <c r="J272" s="133"/>
      <c r="K272" s="133"/>
      <c r="L272" s="133"/>
      <c r="M272" s="133"/>
      <c r="N272" s="133"/>
      <c r="O272" s="133"/>
      <c r="P272" s="133"/>
    </row>
    <row r="273" spans="1:16" ht="21.75" customHeight="1">
      <c r="A273" s="132" t="s">
        <v>228</v>
      </c>
      <c r="B273" s="130">
        <f t="shared" si="22"/>
        <v>25492</v>
      </c>
      <c r="C273" s="202">
        <f t="shared" si="24"/>
        <v>16722</v>
      </c>
      <c r="D273" s="202">
        <f>12030+D274</f>
        <v>13638</v>
      </c>
      <c r="E273" s="202">
        <f>3054+E274</f>
        <v>3084</v>
      </c>
      <c r="F273" s="202">
        <f>SUM(G273:K273)</f>
        <v>7370</v>
      </c>
      <c r="G273" s="133"/>
      <c r="H273" s="133">
        <v>2423</v>
      </c>
      <c r="I273" s="133">
        <f>7185-600+I274</f>
        <v>4947</v>
      </c>
      <c r="J273" s="133"/>
      <c r="K273" s="133"/>
      <c r="L273" s="133"/>
      <c r="M273" s="133"/>
      <c r="N273" s="133">
        <f>800+600</f>
        <v>1400</v>
      </c>
      <c r="O273" s="133"/>
      <c r="P273" s="133"/>
    </row>
    <row r="274" spans="1:16" ht="21.75" customHeight="1">
      <c r="A274" s="251" t="s">
        <v>833</v>
      </c>
      <c r="B274" s="230">
        <f t="shared" si="22"/>
        <v>0</v>
      </c>
      <c r="C274" s="202">
        <f t="shared" si="24"/>
        <v>1638</v>
      </c>
      <c r="D274" s="202">
        <v>1608</v>
      </c>
      <c r="E274" s="202">
        <v>30</v>
      </c>
      <c r="F274" s="202">
        <f>SUM(G274:K274)</f>
        <v>-1638</v>
      </c>
      <c r="G274" s="133"/>
      <c r="H274" s="133"/>
      <c r="I274" s="133">
        <v>-1638</v>
      </c>
      <c r="J274" s="133"/>
      <c r="K274" s="133"/>
      <c r="L274" s="133"/>
      <c r="M274" s="133"/>
      <c r="N274" s="133"/>
      <c r="O274" s="133"/>
      <c r="P274" s="133"/>
    </row>
    <row r="275" spans="1:16" ht="27" customHeight="1">
      <c r="A275" s="132" t="s">
        <v>36</v>
      </c>
      <c r="B275" s="130">
        <f>SUM(C275+F275,L275:P275)</f>
        <v>505646</v>
      </c>
      <c r="C275" s="202">
        <f t="shared" si="25" ref="C275:C291">D275+E275</f>
        <v>437914</v>
      </c>
      <c r="D275" s="202">
        <f>328878+24763+D276</f>
        <v>346542</v>
      </c>
      <c r="E275" s="202">
        <f>77385+6888+E276</f>
        <v>91372</v>
      </c>
      <c r="F275" s="202">
        <f t="shared" si="26" ref="F275:F332">SUM(G275:K275)</f>
        <v>43332</v>
      </c>
      <c r="G275" s="133">
        <f>270+G276</f>
        <v>99</v>
      </c>
      <c r="H275" s="133">
        <f>23992+H276</f>
        <v>23387</v>
      </c>
      <c r="I275" s="133">
        <f>4870+I276</f>
        <v>6277</v>
      </c>
      <c r="J275" s="133">
        <f>13400+J276</f>
        <v>13569</v>
      </c>
      <c r="K275" s="133"/>
      <c r="L275" s="133"/>
      <c r="M275" s="133"/>
      <c r="N275" s="133">
        <v>24400</v>
      </c>
      <c r="O275" s="133"/>
      <c r="P275" s="133"/>
    </row>
    <row r="276" spans="1:16" ht="27" customHeight="1">
      <c r="A276" s="251" t="s">
        <v>833</v>
      </c>
      <c r="B276" s="130">
        <f>SUM(C276+F276,L276:P276)</f>
        <v>800</v>
      </c>
      <c r="C276" s="202">
        <f t="shared" si="25"/>
        <v>0</v>
      </c>
      <c r="D276" s="202">
        <v>-7099</v>
      </c>
      <c r="E276" s="202">
        <v>7099</v>
      </c>
      <c r="F276" s="202">
        <f t="shared" si="26"/>
        <v>800</v>
      </c>
      <c r="G276" s="133">
        <v>-171</v>
      </c>
      <c r="H276" s="133">
        <f>-560-45</f>
        <v>-605</v>
      </c>
      <c r="I276" s="133">
        <f>562+45+800</f>
        <v>1407</v>
      </c>
      <c r="J276" s="133">
        <v>169</v>
      </c>
      <c r="K276" s="133"/>
      <c r="L276" s="133"/>
      <c r="M276" s="133"/>
      <c r="N276" s="133"/>
      <c r="O276" s="133"/>
      <c r="P276" s="133"/>
    </row>
    <row r="277" spans="1:16" ht="21" customHeight="1">
      <c r="A277" s="131" t="s">
        <v>82</v>
      </c>
      <c r="B277" s="130">
        <f t="shared" si="22"/>
        <v>130554</v>
      </c>
      <c r="C277" s="202">
        <f t="shared" si="25"/>
        <v>99783</v>
      </c>
      <c r="D277" s="202">
        <v>78144</v>
      </c>
      <c r="E277" s="202">
        <f>18961+E278</f>
        <v>21639</v>
      </c>
      <c r="F277" s="202">
        <f t="shared" si="26"/>
        <v>30771</v>
      </c>
      <c r="G277" s="133">
        <v>203</v>
      </c>
      <c r="H277" s="133">
        <f>28288+(-2)+H278</f>
        <v>28182</v>
      </c>
      <c r="I277" s="133">
        <f>2280+I278</f>
        <v>2384</v>
      </c>
      <c r="J277" s="133"/>
      <c r="K277" s="133">
        <v>2</v>
      </c>
      <c r="L277" s="133"/>
      <c r="M277" s="133"/>
      <c r="N277" s="133"/>
      <c r="O277" s="133"/>
      <c r="P277" s="133"/>
    </row>
    <row r="278" spans="1:16" ht="21" customHeight="1">
      <c r="A278" s="254" t="s">
        <v>833</v>
      </c>
      <c r="B278" s="130">
        <f>SUM(C278+F278,L278:P278)</f>
        <v>2678</v>
      </c>
      <c r="C278" s="202">
        <f t="shared" si="25"/>
        <v>2678</v>
      </c>
      <c r="D278" s="216"/>
      <c r="E278" s="216">
        <v>2678</v>
      </c>
      <c r="F278" s="202">
        <f t="shared" si="26"/>
        <v>0</v>
      </c>
      <c r="G278" s="194"/>
      <c r="H278" s="194">
        <v>-104</v>
      </c>
      <c r="I278" s="194">
        <v>104</v>
      </c>
      <c r="J278" s="194"/>
      <c r="K278" s="194"/>
      <c r="L278" s="194"/>
      <c r="M278" s="194"/>
      <c r="N278" s="194"/>
      <c r="O278" s="194"/>
      <c r="P278" s="133"/>
    </row>
    <row r="279" spans="1:16" ht="19.5" customHeight="1">
      <c r="A279" s="195" t="s">
        <v>153</v>
      </c>
      <c r="B279" s="231">
        <f t="shared" si="22"/>
        <v>55211</v>
      </c>
      <c r="C279" s="216">
        <f t="shared" si="25"/>
        <v>46545</v>
      </c>
      <c r="D279" s="216">
        <f>33507-642+D280</f>
        <v>35632</v>
      </c>
      <c r="E279" s="216">
        <f>7128+642+E280</f>
        <v>10913</v>
      </c>
      <c r="F279" s="216">
        <f t="shared" si="26"/>
        <v>8566</v>
      </c>
      <c r="G279" s="194">
        <v>90</v>
      </c>
      <c r="H279" s="194">
        <f>3453+H280</f>
        <v>3276</v>
      </c>
      <c r="I279" s="194">
        <f>5023+I280</f>
        <v>5200</v>
      </c>
      <c r="J279" s="194"/>
      <c r="K279" s="194"/>
      <c r="L279" s="194"/>
      <c r="M279" s="194"/>
      <c r="N279" s="194">
        <v>100</v>
      </c>
      <c r="O279" s="194"/>
      <c r="P279" s="133"/>
    </row>
    <row r="280" spans="1:16" ht="19.5" customHeight="1">
      <c r="A280" s="254" t="s">
        <v>833</v>
      </c>
      <c r="B280" s="231">
        <f t="shared" si="22"/>
        <v>5910</v>
      </c>
      <c r="C280" s="216">
        <f t="shared" si="25"/>
        <v>5910</v>
      </c>
      <c r="D280" s="216">
        <v>2767</v>
      </c>
      <c r="E280" s="216">
        <v>3143</v>
      </c>
      <c r="F280" s="216">
        <f t="shared" si="26"/>
        <v>0</v>
      </c>
      <c r="G280" s="194"/>
      <c r="H280" s="194">
        <v>-177</v>
      </c>
      <c r="I280" s="194">
        <v>177</v>
      </c>
      <c r="J280" s="194"/>
      <c r="K280" s="194"/>
      <c r="L280" s="194"/>
      <c r="M280" s="194"/>
      <c r="N280" s="194"/>
      <c r="O280" s="194"/>
      <c r="P280" s="133"/>
    </row>
    <row r="281" spans="1:16" ht="23.25" customHeight="1">
      <c r="A281" s="198" t="s">
        <v>135</v>
      </c>
      <c r="B281" s="130">
        <f t="shared" si="22"/>
        <v>13036</v>
      </c>
      <c r="C281" s="213">
        <f t="shared" si="25"/>
        <v>12072</v>
      </c>
      <c r="D281" s="213">
        <f>7749+D282</f>
        <v>9613</v>
      </c>
      <c r="E281" s="213">
        <f>1338+E282</f>
        <v>2459</v>
      </c>
      <c r="F281" s="202">
        <f t="shared" si="26"/>
        <v>964</v>
      </c>
      <c r="G281" s="157">
        <v>30</v>
      </c>
      <c r="H281" s="157">
        <v>392</v>
      </c>
      <c r="I281" s="157">
        <v>542</v>
      </c>
      <c r="J281" s="157"/>
      <c r="K281" s="157"/>
      <c r="L281" s="157"/>
      <c r="M281" s="157"/>
      <c r="N281" s="157"/>
      <c r="O281" s="157"/>
      <c r="P281" s="157"/>
    </row>
    <row r="282" spans="1:16" ht="18" customHeight="1">
      <c r="A282" s="280" t="s">
        <v>833</v>
      </c>
      <c r="B282" s="230">
        <f t="shared" si="22"/>
        <v>2985</v>
      </c>
      <c r="C282" s="213">
        <f t="shared" si="25"/>
        <v>2985</v>
      </c>
      <c r="D282" s="262">
        <v>1864</v>
      </c>
      <c r="E282" s="262">
        <v>1121</v>
      </c>
      <c r="F282" s="202">
        <f t="shared" si="26"/>
        <v>0</v>
      </c>
      <c r="G282" s="279"/>
      <c r="H282" s="279"/>
      <c r="I282" s="279"/>
      <c r="J282" s="279"/>
      <c r="K282" s="279"/>
      <c r="L282" s="279"/>
      <c r="M282" s="279"/>
      <c r="N282" s="279"/>
      <c r="O282" s="279"/>
      <c r="P282" s="157"/>
    </row>
    <row r="283" spans="1:16" ht="20.25" customHeight="1">
      <c r="A283" s="196" t="s">
        <v>134</v>
      </c>
      <c r="B283" s="232">
        <f t="shared" si="22"/>
        <v>45305</v>
      </c>
      <c r="C283" s="217">
        <f t="shared" si="25"/>
        <v>29682</v>
      </c>
      <c r="D283" s="217">
        <f>22393+D284</f>
        <v>24093</v>
      </c>
      <c r="E283" s="217">
        <f>5148+E284</f>
        <v>5589</v>
      </c>
      <c r="F283" s="217">
        <f t="shared" si="26"/>
        <v>15623</v>
      </c>
      <c r="G283" s="197">
        <f>80+G284</f>
        <v>40</v>
      </c>
      <c r="H283" s="197">
        <f>3158+101+H284</f>
        <v>3409</v>
      </c>
      <c r="I283" s="197">
        <f>9965+(-101)+I284</f>
        <v>12174</v>
      </c>
      <c r="J283" s="197"/>
      <c r="K283" s="197"/>
      <c r="L283" s="197"/>
      <c r="M283" s="197"/>
      <c r="N283" s="197"/>
      <c r="O283" s="197"/>
      <c r="P283" s="133"/>
    </row>
    <row r="284" spans="1:16" ht="20.25" customHeight="1">
      <c r="A284" s="255" t="s">
        <v>833</v>
      </c>
      <c r="B284" s="232">
        <f t="shared" si="22"/>
        <v>4561</v>
      </c>
      <c r="C284" s="217">
        <f t="shared" si="25"/>
        <v>2141</v>
      </c>
      <c r="D284" s="217">
        <v>1700</v>
      </c>
      <c r="E284" s="217">
        <v>441</v>
      </c>
      <c r="F284" s="217">
        <f t="shared" si="26"/>
        <v>2420</v>
      </c>
      <c r="G284" s="197">
        <v>-40</v>
      </c>
      <c r="H284" s="197">
        <v>150</v>
      </c>
      <c r="I284" s="197">
        <f>-110+2420</f>
        <v>2310</v>
      </c>
      <c r="J284" s="197"/>
      <c r="K284" s="197"/>
      <c r="L284" s="197"/>
      <c r="M284" s="197"/>
      <c r="N284" s="197"/>
      <c r="O284" s="197"/>
      <c r="P284" s="133"/>
    </row>
    <row r="285" spans="1:16" ht="35.25" customHeight="1">
      <c r="A285" s="134" t="s">
        <v>133</v>
      </c>
      <c r="B285" s="130">
        <f t="shared" si="22"/>
        <v>13905</v>
      </c>
      <c r="C285" s="202">
        <f>D285+E285</f>
        <v>9173</v>
      </c>
      <c r="D285" s="202">
        <v>7417</v>
      </c>
      <c r="E285" s="202">
        <v>1756</v>
      </c>
      <c r="F285" s="202">
        <f t="shared" si="26"/>
        <v>4732</v>
      </c>
      <c r="G285" s="133"/>
      <c r="H285" s="133">
        <v>2282</v>
      </c>
      <c r="I285" s="133">
        <v>2450</v>
      </c>
      <c r="J285" s="133"/>
      <c r="K285" s="133"/>
      <c r="L285" s="133"/>
      <c r="M285" s="133"/>
      <c r="N285" s="133"/>
      <c r="O285" s="133"/>
      <c r="P285" s="133"/>
    </row>
    <row r="286" spans="1:16" ht="15" customHeight="1">
      <c r="A286" s="134" t="s">
        <v>80</v>
      </c>
      <c r="B286" s="130">
        <f>SUM(C286+F286,L286:P286)</f>
        <v>255406</v>
      </c>
      <c r="C286" s="202">
        <f>D286+E286</f>
        <v>200669</v>
      </c>
      <c r="D286" s="202">
        <f>152250+D287</f>
        <v>158481</v>
      </c>
      <c r="E286" s="202">
        <f>35357+E287</f>
        <v>42188</v>
      </c>
      <c r="F286" s="202">
        <f>SUM(G286:K286)</f>
        <v>54521</v>
      </c>
      <c r="G286" s="133">
        <v>130</v>
      </c>
      <c r="H286" s="133">
        <v>33164</v>
      </c>
      <c r="I286" s="133">
        <f>15047-216+11757+I287</f>
        <v>21227</v>
      </c>
      <c r="J286" s="133"/>
      <c r="K286" s="133"/>
      <c r="L286" s="133"/>
      <c r="M286" s="133"/>
      <c r="N286" s="133">
        <v>216</v>
      </c>
      <c r="O286" s="133"/>
      <c r="P286" s="133"/>
    </row>
    <row r="287" spans="1:16" ht="18" customHeight="1">
      <c r="A287" s="251" t="s">
        <v>833</v>
      </c>
      <c r="B287" s="130">
        <f t="shared" si="22"/>
        <v>7701</v>
      </c>
      <c r="C287" s="202">
        <f t="shared" si="25"/>
        <v>13062</v>
      </c>
      <c r="D287" s="202">
        <f>6231</f>
        <v>6231</v>
      </c>
      <c r="E287" s="202">
        <f>1470+5361</f>
        <v>6831</v>
      </c>
      <c r="F287" s="202">
        <f>SUM(G287:K287)</f>
        <v>-5361</v>
      </c>
      <c r="G287" s="133"/>
      <c r="H287" s="133"/>
      <c r="I287" s="133">
        <v>-5361</v>
      </c>
      <c r="J287" s="133"/>
      <c r="K287" s="133"/>
      <c r="L287" s="133"/>
      <c r="M287" s="133"/>
      <c r="N287" s="133"/>
      <c r="O287" s="133"/>
      <c r="P287" s="133"/>
    </row>
    <row r="288" spans="1:16" ht="15" customHeight="1">
      <c r="A288" s="134" t="s">
        <v>37</v>
      </c>
      <c r="B288" s="130">
        <f t="shared" si="27" ref="B288:B295">SUM(C288+F288,L288:P288)</f>
        <v>62056</v>
      </c>
      <c r="C288" s="202">
        <f>D288+E288</f>
        <v>1865</v>
      </c>
      <c r="D288" s="202">
        <f>1734-21</f>
        <v>1713</v>
      </c>
      <c r="E288" s="202">
        <f>21+E289</f>
        <v>152</v>
      </c>
      <c r="F288" s="202">
        <f>SUM(G288:K288)</f>
        <v>60191</v>
      </c>
      <c r="G288" s="133"/>
      <c r="H288" s="133">
        <f>56212+H289</f>
        <v>55961</v>
      </c>
      <c r="I288" s="133">
        <f>4110+I289</f>
        <v>4230</v>
      </c>
      <c r="J288" s="133"/>
      <c r="K288" s="133"/>
      <c r="L288" s="133"/>
      <c r="M288" s="133"/>
      <c r="N288" s="133"/>
      <c r="O288" s="133"/>
      <c r="P288" s="133"/>
    </row>
    <row r="289" spans="1:16" ht="15" customHeight="1">
      <c r="A289" s="251" t="s">
        <v>833</v>
      </c>
      <c r="B289" s="130">
        <f t="shared" si="27"/>
        <v>0</v>
      </c>
      <c r="C289" s="202">
        <f>D289+E289</f>
        <v>131</v>
      </c>
      <c r="D289" s="202"/>
      <c r="E289" s="202">
        <v>131</v>
      </c>
      <c r="F289" s="202">
        <f>SUM(G289:K289)</f>
        <v>-131</v>
      </c>
      <c r="G289" s="133"/>
      <c r="H289" s="133">
        <v>-251</v>
      </c>
      <c r="I289" s="133">
        <v>120</v>
      </c>
      <c r="J289" s="133"/>
      <c r="K289" s="133"/>
      <c r="L289" s="133"/>
      <c r="M289" s="133"/>
      <c r="N289" s="133"/>
      <c r="O289" s="133"/>
      <c r="P289" s="133"/>
    </row>
    <row r="290" spans="1:16" ht="15" customHeight="1">
      <c r="A290" s="134" t="s">
        <v>154</v>
      </c>
      <c r="B290" s="130">
        <f t="shared" si="27"/>
        <v>53780</v>
      </c>
      <c r="C290" s="202">
        <f t="shared" si="25"/>
        <v>43974</v>
      </c>
      <c r="D290" s="202">
        <f>30158+D291</f>
        <v>35377</v>
      </c>
      <c r="E290" s="202">
        <f>5850+E291</f>
        <v>8597</v>
      </c>
      <c r="F290" s="202">
        <f t="shared" si="26"/>
        <v>9806</v>
      </c>
      <c r="G290" s="133"/>
      <c r="H290" s="133">
        <f>7756+H291</f>
        <v>7500</v>
      </c>
      <c r="I290" s="133">
        <f>1350+700+I291</f>
        <v>2306</v>
      </c>
      <c r="J290" s="133"/>
      <c r="K290" s="133"/>
      <c r="L290" s="133"/>
      <c r="M290" s="133"/>
      <c r="N290" s="133"/>
      <c r="O290" s="133"/>
      <c r="P290" s="133"/>
    </row>
    <row r="291" spans="1:16" ht="15" customHeight="1">
      <c r="A291" s="251" t="s">
        <v>833</v>
      </c>
      <c r="B291" s="130">
        <f t="shared" si="27"/>
        <v>7966</v>
      </c>
      <c r="C291" s="202">
        <f t="shared" si="25"/>
        <v>7966</v>
      </c>
      <c r="D291" s="202">
        <f>1833+3386</f>
        <v>5219</v>
      </c>
      <c r="E291" s="202">
        <f>432+2315</f>
        <v>2747</v>
      </c>
      <c r="F291" s="202">
        <f t="shared" si="26"/>
        <v>0</v>
      </c>
      <c r="G291" s="133"/>
      <c r="H291" s="133">
        <v>-256</v>
      </c>
      <c r="I291" s="133">
        <v>256</v>
      </c>
      <c r="J291" s="133"/>
      <c r="K291" s="133"/>
      <c r="L291" s="133"/>
      <c r="M291" s="133"/>
      <c r="N291" s="133"/>
      <c r="O291" s="133"/>
      <c r="P291" s="133"/>
    </row>
    <row r="292" spans="1:16" ht="15" customHeight="1">
      <c r="A292" s="132" t="s">
        <v>200</v>
      </c>
      <c r="B292" s="130">
        <f t="shared" si="27"/>
        <v>49233</v>
      </c>
      <c r="C292" s="202">
        <f t="shared" si="28" ref="C292:C310">D292+E292</f>
        <v>38688</v>
      </c>
      <c r="D292" s="202">
        <f>30175+D293</f>
        <v>30542</v>
      </c>
      <c r="E292" s="202">
        <f>6874+E293</f>
        <v>8146</v>
      </c>
      <c r="F292" s="202">
        <f>SUM(G292:K292)</f>
        <v>10545</v>
      </c>
      <c r="G292" s="133">
        <v>4</v>
      </c>
      <c r="H292" s="133">
        <f>6475+936+H293</f>
        <v>7186</v>
      </c>
      <c r="I292" s="133">
        <f>2820+310+I293</f>
        <v>3355</v>
      </c>
      <c r="J292" s="133"/>
      <c r="K292" s="133"/>
      <c r="L292" s="133"/>
      <c r="M292" s="133"/>
      <c r="N292" s="133"/>
      <c r="O292" s="133"/>
      <c r="P292" s="133"/>
    </row>
    <row r="293" spans="1:16" ht="15" customHeight="1">
      <c r="A293" s="251" t="s">
        <v>833</v>
      </c>
      <c r="B293" s="130">
        <f t="shared" si="27"/>
        <v>1639</v>
      </c>
      <c r="C293" s="202">
        <f t="shared" si="28"/>
        <v>1639</v>
      </c>
      <c r="D293" s="202">
        <v>367</v>
      </c>
      <c r="E293" s="202">
        <f>86+1186</f>
        <v>1272</v>
      </c>
      <c r="F293" s="202">
        <f>SUM(G293:K293)</f>
        <v>0</v>
      </c>
      <c r="G293" s="133"/>
      <c r="H293" s="133">
        <v>-225</v>
      </c>
      <c r="I293" s="133">
        <v>225</v>
      </c>
      <c r="J293" s="133"/>
      <c r="K293" s="133"/>
      <c r="L293" s="133"/>
      <c r="M293" s="133"/>
      <c r="N293" s="133"/>
      <c r="O293" s="133"/>
      <c r="P293" s="133"/>
    </row>
    <row r="294" spans="1:16" ht="15" customHeight="1">
      <c r="A294" s="134" t="s">
        <v>38</v>
      </c>
      <c r="B294" s="130">
        <f t="shared" si="27"/>
        <v>49173</v>
      </c>
      <c r="C294" s="202">
        <f t="shared" si="28"/>
        <v>40441</v>
      </c>
      <c r="D294" s="202">
        <f>26905+D295</f>
        <v>33049</v>
      </c>
      <c r="E294" s="202">
        <f>6311+E295</f>
        <v>7392</v>
      </c>
      <c r="F294" s="202">
        <f t="shared" si="26"/>
        <v>8732</v>
      </c>
      <c r="G294" s="133"/>
      <c r="H294" s="133">
        <v>4457</v>
      </c>
      <c r="I294" s="133">
        <v>4275</v>
      </c>
      <c r="J294" s="133"/>
      <c r="K294" s="133"/>
      <c r="L294" s="133"/>
      <c r="M294" s="133"/>
      <c r="N294" s="133"/>
      <c r="O294" s="133"/>
      <c r="P294" s="133"/>
    </row>
    <row r="295" spans="1:16" ht="15" customHeight="1">
      <c r="A295" s="251" t="s">
        <v>833</v>
      </c>
      <c r="B295" s="130">
        <f t="shared" si="27"/>
        <v>7225</v>
      </c>
      <c r="C295" s="202">
        <f t="shared" si="28"/>
        <v>7225</v>
      </c>
      <c r="D295" s="202">
        <f>1833+4311</f>
        <v>6144</v>
      </c>
      <c r="E295" s="202">
        <f>432+649</f>
        <v>1081</v>
      </c>
      <c r="F295" s="202"/>
      <c r="G295" s="133"/>
      <c r="H295" s="133"/>
      <c r="I295" s="133"/>
      <c r="J295" s="133"/>
      <c r="K295" s="133"/>
      <c r="L295" s="133"/>
      <c r="M295" s="133"/>
      <c r="N295" s="133"/>
      <c r="O295" s="133"/>
      <c r="P295" s="133"/>
    </row>
    <row r="296" spans="1:16" ht="15" customHeight="1">
      <c r="A296" s="134" t="s">
        <v>39</v>
      </c>
      <c r="B296" s="130">
        <f t="shared" si="22"/>
        <v>32550</v>
      </c>
      <c r="C296" s="202">
        <f t="shared" si="28"/>
        <v>27954</v>
      </c>
      <c r="D296" s="202">
        <f>21722+D297</f>
        <v>22455</v>
      </c>
      <c r="E296" s="202">
        <f>5326+E297</f>
        <v>5499</v>
      </c>
      <c r="F296" s="202">
        <f t="shared" si="26"/>
        <v>4596</v>
      </c>
      <c r="G296" s="133"/>
      <c r="H296" s="133">
        <v>2666</v>
      </c>
      <c r="I296" s="133">
        <v>1930</v>
      </c>
      <c r="J296" s="133"/>
      <c r="K296" s="133"/>
      <c r="L296" s="133"/>
      <c r="M296" s="133"/>
      <c r="N296" s="133"/>
      <c r="O296" s="133"/>
      <c r="P296" s="133"/>
    </row>
    <row r="297" spans="1:16" ht="15" customHeight="1">
      <c r="A297" s="251" t="s">
        <v>833</v>
      </c>
      <c r="B297" s="130">
        <f t="shared" si="22"/>
        <v>906</v>
      </c>
      <c r="C297" s="202">
        <f t="shared" si="28"/>
        <v>906</v>
      </c>
      <c r="D297" s="202">
        <v>733</v>
      </c>
      <c r="E297" s="202">
        <v>173</v>
      </c>
      <c r="F297" s="202"/>
      <c r="G297" s="133"/>
      <c r="H297" s="133"/>
      <c r="I297" s="133"/>
      <c r="J297" s="133"/>
      <c r="K297" s="133"/>
      <c r="L297" s="133"/>
      <c r="M297" s="133"/>
      <c r="N297" s="133"/>
      <c r="O297" s="133"/>
      <c r="P297" s="133"/>
    </row>
    <row r="298" spans="1:16" ht="15" customHeight="1">
      <c r="A298" s="134" t="s">
        <v>40</v>
      </c>
      <c r="B298" s="130">
        <f t="shared" si="22"/>
        <v>61320</v>
      </c>
      <c r="C298" s="202">
        <f t="shared" si="28"/>
        <v>36631</v>
      </c>
      <c r="D298" s="202">
        <v>29879</v>
      </c>
      <c r="E298" s="202">
        <v>6752</v>
      </c>
      <c r="F298" s="202">
        <f t="shared" si="26"/>
        <v>24689</v>
      </c>
      <c r="G298" s="133"/>
      <c r="H298" s="133">
        <f>13869+H299</f>
        <v>16519</v>
      </c>
      <c r="I298" s="133">
        <f>6900+I299</f>
        <v>8170</v>
      </c>
      <c r="J298" s="133"/>
      <c r="K298" s="133"/>
      <c r="L298" s="133"/>
      <c r="M298" s="133"/>
      <c r="N298" s="133"/>
      <c r="O298" s="133"/>
      <c r="P298" s="133"/>
    </row>
    <row r="299" spans="1:16" ht="15" customHeight="1">
      <c r="A299" s="252" t="s">
        <v>833</v>
      </c>
      <c r="B299" s="130">
        <f t="shared" si="22"/>
        <v>3920</v>
      </c>
      <c r="C299" s="202"/>
      <c r="D299" s="202"/>
      <c r="E299" s="202"/>
      <c r="F299" s="202">
        <f t="shared" si="26"/>
        <v>3920</v>
      </c>
      <c r="G299" s="133"/>
      <c r="H299" s="133">
        <v>2650</v>
      </c>
      <c r="I299" s="133">
        <v>1270</v>
      </c>
      <c r="J299" s="133"/>
      <c r="K299" s="133"/>
      <c r="L299" s="133"/>
      <c r="M299" s="133"/>
      <c r="N299" s="133"/>
      <c r="O299" s="133"/>
      <c r="P299" s="133"/>
    </row>
    <row r="300" spans="1:16" ht="15" customHeight="1">
      <c r="A300" s="136" t="s">
        <v>131</v>
      </c>
      <c r="B300" s="232">
        <f t="shared" si="22"/>
        <v>50686</v>
      </c>
      <c r="C300" s="261">
        <f t="shared" si="28"/>
        <v>34176</v>
      </c>
      <c r="D300" s="262">
        <f>24993+D301</f>
        <v>27276</v>
      </c>
      <c r="E300" s="215">
        <f>5811+E301</f>
        <v>6900</v>
      </c>
      <c r="F300" s="217">
        <f t="shared" si="26"/>
        <v>16510</v>
      </c>
      <c r="G300" s="263">
        <f>G301</f>
        <v>25</v>
      </c>
      <c r="H300" s="158">
        <f>12785+H301</f>
        <v>12895</v>
      </c>
      <c r="I300" s="158">
        <f>3725+I301</f>
        <v>3590</v>
      </c>
      <c r="J300" s="158"/>
      <c r="K300" s="158"/>
      <c r="L300" s="158"/>
      <c r="M300" s="158"/>
      <c r="N300" s="158"/>
      <c r="O300" s="158"/>
      <c r="P300" s="158"/>
    </row>
    <row r="301" spans="1:16" ht="15" customHeight="1">
      <c r="A301" s="253" t="s">
        <v>833</v>
      </c>
      <c r="B301" s="130">
        <f t="shared" si="22"/>
        <v>3372</v>
      </c>
      <c r="C301" s="215">
        <f t="shared" si="28"/>
        <v>3372</v>
      </c>
      <c r="D301" s="213">
        <f>367+1916</f>
        <v>2283</v>
      </c>
      <c r="E301" s="213">
        <f>86+1003</f>
        <v>1089</v>
      </c>
      <c r="F301" s="202">
        <f t="shared" si="26"/>
        <v>0</v>
      </c>
      <c r="G301" s="225">
        <v>25</v>
      </c>
      <c r="H301" s="157">
        <v>110</v>
      </c>
      <c r="I301" s="157">
        <v>-135</v>
      </c>
      <c r="J301" s="157"/>
      <c r="K301" s="157"/>
      <c r="L301" s="157"/>
      <c r="M301" s="157"/>
      <c r="N301" s="157"/>
      <c r="O301" s="157"/>
      <c r="P301" s="157"/>
    </row>
    <row r="302" spans="1:16" ht="15" customHeight="1">
      <c r="A302" s="134" t="s">
        <v>199</v>
      </c>
      <c r="B302" s="130">
        <f t="shared" si="22"/>
        <v>10683</v>
      </c>
      <c r="C302" s="202">
        <f t="shared" si="28"/>
        <v>7420</v>
      </c>
      <c r="D302" s="202">
        <f>7134-354+D303</f>
        <v>4621</v>
      </c>
      <c r="E302" s="202">
        <f>1717+354+E303</f>
        <v>2799</v>
      </c>
      <c r="F302" s="202">
        <f t="shared" si="26"/>
        <v>2287</v>
      </c>
      <c r="G302" s="133"/>
      <c r="H302" s="133">
        <f>2228+H303</f>
        <v>1252</v>
      </c>
      <c r="I302" s="133">
        <v>1035</v>
      </c>
      <c r="J302" s="133"/>
      <c r="K302" s="133"/>
      <c r="L302" s="133"/>
      <c r="M302" s="133"/>
      <c r="N302" s="133">
        <f>N303</f>
        <v>976</v>
      </c>
      <c r="O302" s="133"/>
      <c r="P302" s="133"/>
    </row>
    <row r="303" spans="1:16" ht="15" customHeight="1">
      <c r="A303" s="251" t="s">
        <v>833</v>
      </c>
      <c r="B303" s="130">
        <f t="shared" si="22"/>
        <v>-1431</v>
      </c>
      <c r="C303" s="202">
        <f t="shared" si="28"/>
        <v>-1431</v>
      </c>
      <c r="D303" s="202">
        <v>-2159</v>
      </c>
      <c r="E303" s="202">
        <v>728</v>
      </c>
      <c r="F303" s="202">
        <f t="shared" si="26"/>
        <v>-976</v>
      </c>
      <c r="G303" s="133"/>
      <c r="H303" s="133">
        <v>-976</v>
      </c>
      <c r="I303" s="133"/>
      <c r="J303" s="133"/>
      <c r="K303" s="133"/>
      <c r="L303" s="133"/>
      <c r="M303" s="133"/>
      <c r="N303" s="133">
        <v>976</v>
      </c>
      <c r="O303" s="133"/>
      <c r="P303" s="133"/>
    </row>
    <row r="304" spans="1:16" ht="15" customHeight="1">
      <c r="A304" s="134" t="s">
        <v>158</v>
      </c>
      <c r="B304" s="130">
        <f t="shared" si="22"/>
        <v>38809</v>
      </c>
      <c r="C304" s="202">
        <f t="shared" si="28"/>
        <v>26346</v>
      </c>
      <c r="D304" s="202">
        <f>19291+D305</f>
        <v>20391</v>
      </c>
      <c r="E304" s="202">
        <f>5696+E305</f>
        <v>5955</v>
      </c>
      <c r="F304" s="202">
        <f t="shared" si="26"/>
        <v>12463</v>
      </c>
      <c r="G304" s="133"/>
      <c r="H304" s="133">
        <v>6773</v>
      </c>
      <c r="I304" s="133">
        <v>5690</v>
      </c>
      <c r="J304" s="133"/>
      <c r="K304" s="133"/>
      <c r="L304" s="133"/>
      <c r="M304" s="133"/>
      <c r="N304" s="133"/>
      <c r="O304" s="133"/>
      <c r="P304" s="133"/>
    </row>
    <row r="305" spans="1:16" ht="15" customHeight="1">
      <c r="A305" s="251" t="s">
        <v>833</v>
      </c>
      <c r="B305" s="130">
        <f t="shared" si="22"/>
        <v>1359</v>
      </c>
      <c r="C305" s="202">
        <f t="shared" si="28"/>
        <v>1359</v>
      </c>
      <c r="D305" s="202">
        <v>1100</v>
      </c>
      <c r="E305" s="202">
        <v>259</v>
      </c>
      <c r="F305" s="202"/>
      <c r="G305" s="133"/>
      <c r="H305" s="133"/>
      <c r="I305" s="133"/>
      <c r="J305" s="133"/>
      <c r="K305" s="133"/>
      <c r="L305" s="133"/>
      <c r="M305" s="133"/>
      <c r="N305" s="133"/>
      <c r="O305" s="133"/>
      <c r="P305" s="133"/>
    </row>
    <row r="306" spans="1:16" ht="15" customHeight="1">
      <c r="A306" s="134" t="s">
        <v>205</v>
      </c>
      <c r="B306" s="130">
        <f t="shared" si="22"/>
        <v>25294</v>
      </c>
      <c r="C306" s="202">
        <f t="shared" si="28"/>
        <v>18406</v>
      </c>
      <c r="D306" s="202">
        <v>14751</v>
      </c>
      <c r="E306" s="202">
        <v>3655</v>
      </c>
      <c r="F306" s="202">
        <f t="shared" si="26"/>
        <v>5716</v>
      </c>
      <c r="G306" s="133">
        <f>G307</f>
        <v>4</v>
      </c>
      <c r="H306" s="133">
        <f>4045-400-600+H307</f>
        <v>2869</v>
      </c>
      <c r="I306" s="133">
        <v>2843</v>
      </c>
      <c r="J306" s="133"/>
      <c r="K306" s="133"/>
      <c r="L306" s="133"/>
      <c r="M306" s="133"/>
      <c r="N306" s="133">
        <f>1000+N307</f>
        <v>1172</v>
      </c>
      <c r="O306" s="133"/>
      <c r="P306" s="133"/>
    </row>
    <row r="307" spans="1:16" ht="15" customHeight="1">
      <c r="A307" s="268" t="s">
        <v>833</v>
      </c>
      <c r="B307" s="230">
        <f t="shared" si="22"/>
        <v>0</v>
      </c>
      <c r="C307" s="216"/>
      <c r="D307" s="216"/>
      <c r="E307" s="216"/>
      <c r="F307" s="202">
        <f t="shared" si="26"/>
        <v>-172</v>
      </c>
      <c r="G307" s="194">
        <v>4</v>
      </c>
      <c r="H307" s="194">
        <v>-176</v>
      </c>
      <c r="I307" s="194"/>
      <c r="J307" s="194"/>
      <c r="K307" s="194"/>
      <c r="L307" s="194"/>
      <c r="M307" s="194"/>
      <c r="N307" s="194">
        <v>172</v>
      </c>
      <c r="O307" s="194"/>
      <c r="P307" s="194"/>
    </row>
    <row r="308" spans="1:16" ht="22.5" customHeight="1">
      <c r="A308" s="193" t="s">
        <v>197</v>
      </c>
      <c r="B308" s="231">
        <f t="shared" si="22"/>
        <v>18466</v>
      </c>
      <c r="C308" s="216">
        <f t="shared" si="28"/>
        <v>13685</v>
      </c>
      <c r="D308" s="216">
        <f>11094-777</f>
        <v>10317</v>
      </c>
      <c r="E308" s="216">
        <f>2591+777</f>
        <v>3368</v>
      </c>
      <c r="F308" s="216">
        <f t="shared" si="26"/>
        <v>4781</v>
      </c>
      <c r="G308" s="194"/>
      <c r="H308" s="194">
        <v>3012</v>
      </c>
      <c r="I308" s="194">
        <v>1769</v>
      </c>
      <c r="J308" s="194"/>
      <c r="K308" s="194"/>
      <c r="L308" s="194"/>
      <c r="M308" s="194"/>
      <c r="N308" s="194"/>
      <c r="O308" s="194"/>
      <c r="P308" s="194"/>
    </row>
    <row r="309" spans="1:16" ht="21" customHeight="1">
      <c r="A309" s="138" t="s">
        <v>191</v>
      </c>
      <c r="B309" s="130">
        <f t="shared" si="22"/>
        <v>68855</v>
      </c>
      <c r="C309" s="213">
        <f t="shared" si="28"/>
        <v>55482</v>
      </c>
      <c r="D309" s="213">
        <f>42047+D310</f>
        <v>41643</v>
      </c>
      <c r="E309" s="213">
        <f>9622+E310</f>
        <v>13839</v>
      </c>
      <c r="F309" s="202">
        <f t="shared" si="26"/>
        <v>12453</v>
      </c>
      <c r="G309" s="157">
        <f>G310</f>
        <v>36</v>
      </c>
      <c r="H309" s="157">
        <v>8402</v>
      </c>
      <c r="I309" s="157">
        <v>4015</v>
      </c>
      <c r="J309" s="157"/>
      <c r="K309" s="157"/>
      <c r="L309" s="157"/>
      <c r="M309" s="157"/>
      <c r="N309" s="157">
        <v>920</v>
      </c>
      <c r="O309" s="157"/>
      <c r="P309" s="157"/>
    </row>
    <row r="310" spans="1:16" ht="18" customHeight="1">
      <c r="A310" s="260" t="s">
        <v>833</v>
      </c>
      <c r="B310" s="130">
        <f t="shared" si="22"/>
        <v>3849</v>
      </c>
      <c r="C310" s="213">
        <f t="shared" si="28"/>
        <v>3813</v>
      </c>
      <c r="D310" s="213">
        <f>2932+(-3336)</f>
        <v>-404</v>
      </c>
      <c r="E310" s="213">
        <f>692+3525</f>
        <v>4217</v>
      </c>
      <c r="F310" s="202">
        <f t="shared" si="26"/>
        <v>36</v>
      </c>
      <c r="G310" s="157">
        <v>36</v>
      </c>
      <c r="H310" s="157"/>
      <c r="I310" s="157"/>
      <c r="J310" s="157"/>
      <c r="K310" s="157"/>
      <c r="L310" s="157"/>
      <c r="M310" s="157"/>
      <c r="N310" s="157"/>
      <c r="O310" s="157"/>
      <c r="P310" s="157"/>
    </row>
    <row r="311" spans="1:16" ht="19.5" customHeight="1">
      <c r="A311" s="134" t="s">
        <v>216</v>
      </c>
      <c r="B311" s="130">
        <f t="shared" si="22"/>
        <v>52573</v>
      </c>
      <c r="C311" s="202">
        <f t="shared" si="29" ref="C311:C327">D311+E311</f>
        <v>44356</v>
      </c>
      <c r="D311" s="202">
        <f>31966+D312</f>
        <v>35298</v>
      </c>
      <c r="E311" s="202">
        <f>6971+E312</f>
        <v>9058</v>
      </c>
      <c r="F311" s="202">
        <f t="shared" si="26"/>
        <v>8217</v>
      </c>
      <c r="G311" s="133">
        <f>G312</f>
        <v>4</v>
      </c>
      <c r="H311" s="133">
        <f>5662+H312</f>
        <v>5631</v>
      </c>
      <c r="I311" s="133">
        <f>2555+I312</f>
        <v>2582</v>
      </c>
      <c r="J311" s="133"/>
      <c r="K311" s="133"/>
      <c r="L311" s="133"/>
      <c r="M311" s="133"/>
      <c r="N311" s="133"/>
      <c r="O311" s="133"/>
      <c r="P311" s="133"/>
    </row>
    <row r="312" spans="1:16" ht="19.5" customHeight="1">
      <c r="A312" s="251" t="s">
        <v>833</v>
      </c>
      <c r="B312" s="130">
        <f t="shared" si="22"/>
        <v>5419</v>
      </c>
      <c r="C312" s="202">
        <f t="shared" si="29"/>
        <v>5419</v>
      </c>
      <c r="D312" s="202">
        <f>1100+2232</f>
        <v>3332</v>
      </c>
      <c r="E312" s="202">
        <f>259+1828</f>
        <v>2087</v>
      </c>
      <c r="F312" s="202">
        <f t="shared" si="26"/>
        <v>0</v>
      </c>
      <c r="G312" s="133">
        <v>4</v>
      </c>
      <c r="H312" s="133">
        <v>-31</v>
      </c>
      <c r="I312" s="133">
        <v>27</v>
      </c>
      <c r="J312" s="133"/>
      <c r="K312" s="133"/>
      <c r="L312" s="133"/>
      <c r="M312" s="133"/>
      <c r="N312" s="133"/>
      <c r="O312" s="133"/>
      <c r="P312" s="133"/>
    </row>
    <row r="313" spans="1:16" ht="15" customHeight="1">
      <c r="A313" s="134" t="s">
        <v>207</v>
      </c>
      <c r="B313" s="130">
        <f t="shared" si="22"/>
        <v>35971</v>
      </c>
      <c r="C313" s="202">
        <f t="shared" si="29"/>
        <v>28676</v>
      </c>
      <c r="D313" s="202">
        <f>22268+D314</f>
        <v>20931</v>
      </c>
      <c r="E313" s="202">
        <f>5955+E314</f>
        <v>7745</v>
      </c>
      <c r="F313" s="202">
        <f t="shared" si="26"/>
        <v>7295</v>
      </c>
      <c r="G313" s="133">
        <f>G314</f>
        <v>4</v>
      </c>
      <c r="H313" s="133">
        <v>4275</v>
      </c>
      <c r="I313" s="133">
        <f>3020+I314</f>
        <v>3016</v>
      </c>
      <c r="J313" s="133"/>
      <c r="K313" s="133"/>
      <c r="L313" s="133"/>
      <c r="M313" s="133"/>
      <c r="N313" s="133"/>
      <c r="O313" s="133"/>
      <c r="P313" s="133"/>
    </row>
    <row r="314" spans="1:16" ht="15" customHeight="1">
      <c r="A314" s="251" t="s">
        <v>833</v>
      </c>
      <c r="B314" s="130">
        <f t="shared" si="22"/>
        <v>453</v>
      </c>
      <c r="C314" s="202">
        <f t="shared" si="29"/>
        <v>453</v>
      </c>
      <c r="D314" s="202">
        <f>367-1704</f>
        <v>-1337</v>
      </c>
      <c r="E314" s="202">
        <f>86+1704</f>
        <v>1790</v>
      </c>
      <c r="F314" s="202">
        <f t="shared" si="26"/>
        <v>0</v>
      </c>
      <c r="G314" s="133">
        <v>4</v>
      </c>
      <c r="H314" s="133"/>
      <c r="I314" s="133">
        <v>-4</v>
      </c>
      <c r="J314" s="133"/>
      <c r="K314" s="133"/>
      <c r="L314" s="133"/>
      <c r="M314" s="133"/>
      <c r="N314" s="133"/>
      <c r="O314" s="133"/>
      <c r="P314" s="133"/>
    </row>
    <row r="315" spans="1:16" ht="15" customHeight="1">
      <c r="A315" s="134" t="s">
        <v>41</v>
      </c>
      <c r="B315" s="130">
        <f t="shared" si="22"/>
        <v>29444</v>
      </c>
      <c r="C315" s="202">
        <f t="shared" si="29"/>
        <v>20629</v>
      </c>
      <c r="D315" s="202">
        <f>15633+D316</f>
        <v>16733</v>
      </c>
      <c r="E315" s="202">
        <f>3637+E316</f>
        <v>3896</v>
      </c>
      <c r="F315" s="202">
        <f t="shared" si="26"/>
        <v>8815</v>
      </c>
      <c r="G315" s="133"/>
      <c r="H315" s="133">
        <v>5216</v>
      </c>
      <c r="I315" s="133">
        <v>3599</v>
      </c>
      <c r="J315" s="133"/>
      <c r="K315" s="133"/>
      <c r="L315" s="133"/>
      <c r="M315" s="133"/>
      <c r="N315" s="133"/>
      <c r="O315" s="133"/>
      <c r="P315" s="133"/>
    </row>
    <row r="316" spans="1:16" ht="15" customHeight="1">
      <c r="A316" s="251" t="s">
        <v>833</v>
      </c>
      <c r="B316" s="130">
        <f t="shared" si="22"/>
        <v>1359</v>
      </c>
      <c r="C316" s="202">
        <f t="shared" si="29"/>
        <v>1359</v>
      </c>
      <c r="D316" s="202">
        <v>1100</v>
      </c>
      <c r="E316" s="202">
        <v>259</v>
      </c>
      <c r="F316" s="202"/>
      <c r="G316" s="133"/>
      <c r="H316" s="133"/>
      <c r="I316" s="133"/>
      <c r="J316" s="133"/>
      <c r="K316" s="133"/>
      <c r="L316" s="133"/>
      <c r="M316" s="133"/>
      <c r="N316" s="133"/>
      <c r="O316" s="133"/>
      <c r="P316" s="133"/>
    </row>
    <row r="317" spans="1:16" ht="15" customHeight="1">
      <c r="A317" s="134" t="s">
        <v>156</v>
      </c>
      <c r="B317" s="130">
        <f t="shared" si="22"/>
        <v>119787</v>
      </c>
      <c r="C317" s="202">
        <f t="shared" si="29"/>
        <v>84608</v>
      </c>
      <c r="D317" s="202">
        <f>66476+D318</f>
        <v>68141</v>
      </c>
      <c r="E317" s="202">
        <f>15602+E318</f>
        <v>16467</v>
      </c>
      <c r="F317" s="202">
        <f t="shared" si="26"/>
        <v>35179</v>
      </c>
      <c r="G317" s="133"/>
      <c r="H317" s="133">
        <f>23134+(-210)+H318</f>
        <v>24624</v>
      </c>
      <c r="I317" s="133">
        <f>10045+210+I318</f>
        <v>10555</v>
      </c>
      <c r="J317" s="133"/>
      <c r="K317" s="133"/>
      <c r="L317" s="133"/>
      <c r="M317" s="133"/>
      <c r="N317" s="133"/>
      <c r="O317" s="133"/>
      <c r="P317" s="133"/>
    </row>
    <row r="318" spans="1:16" ht="19.5" customHeight="1">
      <c r="A318" s="251" t="s">
        <v>833</v>
      </c>
      <c r="B318" s="130">
        <f>SUM(C318+F318,L318:P318)</f>
        <v>4530</v>
      </c>
      <c r="C318" s="202">
        <f t="shared" si="29"/>
        <v>2530</v>
      </c>
      <c r="D318" s="202">
        <f>-2000+3665</f>
        <v>1665</v>
      </c>
      <c r="E318" s="202">
        <v>865</v>
      </c>
      <c r="F318" s="202">
        <f t="shared" si="26"/>
        <v>2000</v>
      </c>
      <c r="G318" s="133"/>
      <c r="H318" s="133">
        <v>1700</v>
      </c>
      <c r="I318" s="133">
        <v>300</v>
      </c>
      <c r="J318" s="133"/>
      <c r="K318" s="133"/>
      <c r="L318" s="133"/>
      <c r="M318" s="133"/>
      <c r="N318" s="133"/>
      <c r="O318" s="133"/>
      <c r="P318" s="133"/>
    </row>
    <row r="319" spans="1:16" ht="18" customHeight="1">
      <c r="A319" s="134" t="s">
        <v>155</v>
      </c>
      <c r="B319" s="130">
        <f t="shared" si="22"/>
        <v>56589</v>
      </c>
      <c r="C319" s="202">
        <f t="shared" si="29"/>
        <v>33631</v>
      </c>
      <c r="D319" s="202">
        <f>26887+D320</f>
        <v>27254</v>
      </c>
      <c r="E319" s="202">
        <f>6291+E320</f>
        <v>6377</v>
      </c>
      <c r="F319" s="202">
        <f t="shared" si="26"/>
        <v>22958</v>
      </c>
      <c r="G319" s="133"/>
      <c r="H319" s="133">
        <v>9726</v>
      </c>
      <c r="I319" s="133">
        <f>8421+4811</f>
        <v>13232</v>
      </c>
      <c r="J319" s="133"/>
      <c r="K319" s="133"/>
      <c r="L319" s="133"/>
      <c r="M319" s="133"/>
      <c r="N319" s="133"/>
      <c r="O319" s="133"/>
      <c r="P319" s="133"/>
    </row>
    <row r="320" spans="1:16" ht="18" customHeight="1">
      <c r="A320" s="251" t="s">
        <v>833</v>
      </c>
      <c r="B320" s="130">
        <f t="shared" si="22"/>
        <v>453</v>
      </c>
      <c r="C320" s="202">
        <f t="shared" si="29"/>
        <v>453</v>
      </c>
      <c r="D320" s="202">
        <v>367</v>
      </c>
      <c r="E320" s="202">
        <v>86</v>
      </c>
      <c r="F320" s="202"/>
      <c r="G320" s="133"/>
      <c r="H320" s="133"/>
      <c r="I320" s="133"/>
      <c r="J320" s="133"/>
      <c r="K320" s="133"/>
      <c r="L320" s="133"/>
      <c r="M320" s="133"/>
      <c r="N320" s="133"/>
      <c r="O320" s="133"/>
      <c r="P320" s="133"/>
    </row>
    <row r="321" spans="1:17" ht="30" customHeight="1">
      <c r="A321" s="132" t="s">
        <v>159</v>
      </c>
      <c r="B321" s="130">
        <f t="shared" si="22"/>
        <v>35786</v>
      </c>
      <c r="C321" s="202">
        <f t="shared" si="29"/>
        <v>26560</v>
      </c>
      <c r="D321" s="202">
        <f>19812+D322</f>
        <v>21278</v>
      </c>
      <c r="E321" s="202">
        <f>4936+E322</f>
        <v>5282</v>
      </c>
      <c r="F321" s="202">
        <f t="shared" si="26"/>
        <v>9226</v>
      </c>
      <c r="G321" s="133"/>
      <c r="H321" s="133">
        <v>4396</v>
      </c>
      <c r="I321" s="133">
        <v>4830</v>
      </c>
      <c r="J321" s="133"/>
      <c r="K321" s="133"/>
      <c r="L321" s="133"/>
      <c r="M321" s="133"/>
      <c r="N321" s="133"/>
      <c r="O321" s="133"/>
      <c r="P321" s="133"/>
      <c r="Q321" s="81"/>
    </row>
    <row r="322" spans="1:17" ht="30" customHeight="1">
      <c r="A322" s="251" t="s">
        <v>833</v>
      </c>
      <c r="B322" s="130">
        <f t="shared" si="22"/>
        <v>1812</v>
      </c>
      <c r="C322" s="202">
        <f t="shared" si="29"/>
        <v>1812</v>
      </c>
      <c r="D322" s="202">
        <v>1466</v>
      </c>
      <c r="E322" s="202">
        <v>346</v>
      </c>
      <c r="F322" s="202"/>
      <c r="G322" s="133"/>
      <c r="H322" s="133"/>
      <c r="I322" s="133"/>
      <c r="J322" s="133"/>
      <c r="K322" s="133"/>
      <c r="L322" s="133"/>
      <c r="M322" s="133"/>
      <c r="N322" s="133"/>
      <c r="O322" s="133"/>
      <c r="P322" s="133"/>
      <c r="Q322" s="81"/>
    </row>
    <row r="323" spans="1:16" ht="30" customHeight="1">
      <c r="A323" s="132" t="s">
        <v>157</v>
      </c>
      <c r="B323" s="130">
        <f>SUM(C323+F323,L323:P323)</f>
        <v>69184</v>
      </c>
      <c r="C323" s="202">
        <f>D323+E323</f>
        <v>41936</v>
      </c>
      <c r="D323" s="202">
        <f>31977+D324</f>
        <v>33443</v>
      </c>
      <c r="E323" s="202">
        <f>8147+E324</f>
        <v>8493</v>
      </c>
      <c r="F323" s="202">
        <f t="shared" si="26"/>
        <v>27248</v>
      </c>
      <c r="G323" s="133"/>
      <c r="H323" s="133">
        <f>13013+H324</f>
        <v>13708</v>
      </c>
      <c r="I323" s="133">
        <f>14235+I324</f>
        <v>13539</v>
      </c>
      <c r="J323" s="133"/>
      <c r="K323" s="133">
        <f>K324</f>
        <v>1</v>
      </c>
      <c r="L323" s="133"/>
      <c r="M323" s="133"/>
      <c r="N323" s="133"/>
      <c r="O323" s="133"/>
      <c r="P323" s="133"/>
    </row>
    <row r="324" spans="1:16" ht="30" customHeight="1">
      <c r="A324" s="251" t="s">
        <v>833</v>
      </c>
      <c r="B324" s="130">
        <f>SUM(C324+F324,L324:P324)</f>
        <v>1812</v>
      </c>
      <c r="C324" s="202">
        <f t="shared" si="29"/>
        <v>1812</v>
      </c>
      <c r="D324" s="202">
        <v>1466</v>
      </c>
      <c r="E324" s="202">
        <v>346</v>
      </c>
      <c r="F324" s="202">
        <f t="shared" si="26"/>
        <v>0</v>
      </c>
      <c r="G324" s="133"/>
      <c r="H324" s="133">
        <v>695</v>
      </c>
      <c r="I324" s="133">
        <v>-696</v>
      </c>
      <c r="J324" s="133"/>
      <c r="K324" s="133">
        <v>1</v>
      </c>
      <c r="L324" s="133"/>
      <c r="M324" s="133"/>
      <c r="N324" s="133"/>
      <c r="O324" s="133"/>
      <c r="P324" s="133"/>
    </row>
    <row r="325" spans="1:16" ht="30" customHeight="1">
      <c r="A325" s="134" t="s">
        <v>869</v>
      </c>
      <c r="B325" s="130">
        <f t="shared" si="22"/>
        <v>8804</v>
      </c>
      <c r="C325" s="202">
        <f t="shared" si="29"/>
        <v>6664</v>
      </c>
      <c r="D325" s="202">
        <v>5392</v>
      </c>
      <c r="E325" s="202">
        <v>1272</v>
      </c>
      <c r="F325" s="202">
        <f t="shared" si="26"/>
        <v>1740</v>
      </c>
      <c r="G325" s="133"/>
      <c r="H325" s="133">
        <v>420</v>
      </c>
      <c r="I325" s="133">
        <f>1720+I326</f>
        <v>716</v>
      </c>
      <c r="J325" s="133">
        <f>J326</f>
        <v>604</v>
      </c>
      <c r="K325" s="133"/>
      <c r="L325" s="133"/>
      <c r="M325" s="133"/>
      <c r="N325" s="133">
        <f>N326</f>
        <v>400</v>
      </c>
      <c r="O325" s="133"/>
      <c r="P325" s="133"/>
    </row>
    <row r="326" spans="1:16" ht="30" customHeight="1">
      <c r="A326" s="251" t="s">
        <v>833</v>
      </c>
      <c r="B326" s="130">
        <f t="shared" si="22"/>
        <v>0</v>
      </c>
      <c r="C326" s="202"/>
      <c r="D326" s="202"/>
      <c r="E326" s="202"/>
      <c r="F326" s="202">
        <f t="shared" si="26"/>
        <v>-400</v>
      </c>
      <c r="G326" s="133"/>
      <c r="H326" s="133"/>
      <c r="I326" s="133">
        <v>-1004</v>
      </c>
      <c r="J326" s="133">
        <v>604</v>
      </c>
      <c r="K326" s="133"/>
      <c r="L326" s="133"/>
      <c r="M326" s="133"/>
      <c r="N326" s="133">
        <v>400</v>
      </c>
      <c r="O326" s="133"/>
      <c r="P326" s="133"/>
    </row>
    <row r="327" spans="1:16" ht="30" customHeight="1">
      <c r="A327" s="134" t="s">
        <v>870</v>
      </c>
      <c r="B327" s="130">
        <f t="shared" si="22"/>
        <v>10661</v>
      </c>
      <c r="C327" s="202">
        <f t="shared" si="29"/>
        <v>8852</v>
      </c>
      <c r="D327" s="202">
        <v>6873</v>
      </c>
      <c r="E327" s="202">
        <v>1979</v>
      </c>
      <c r="F327" s="202">
        <f t="shared" si="26"/>
        <v>1809</v>
      </c>
      <c r="G327" s="133"/>
      <c r="H327" s="133">
        <v>250</v>
      </c>
      <c r="I327" s="133">
        <f>409+I328</f>
        <v>809</v>
      </c>
      <c r="J327" s="133"/>
      <c r="K327" s="133">
        <f>1150+K328</f>
        <v>750</v>
      </c>
      <c r="L327" s="133"/>
      <c r="M327" s="133"/>
      <c r="N327" s="133"/>
      <c r="O327" s="133"/>
      <c r="P327" s="133"/>
    </row>
    <row r="328" spans="1:16" ht="30" customHeight="1">
      <c r="A328" s="251" t="s">
        <v>833</v>
      </c>
      <c r="B328" s="130">
        <f t="shared" si="22"/>
        <v>0</v>
      </c>
      <c r="C328" s="202"/>
      <c r="D328" s="202"/>
      <c r="E328" s="202"/>
      <c r="F328" s="202">
        <f t="shared" si="26"/>
        <v>0</v>
      </c>
      <c r="G328" s="133"/>
      <c r="H328" s="133"/>
      <c r="I328" s="133">
        <v>400</v>
      </c>
      <c r="J328" s="133"/>
      <c r="K328" s="133">
        <v>-400</v>
      </c>
      <c r="L328" s="133"/>
      <c r="M328" s="133"/>
      <c r="N328" s="133"/>
      <c r="O328" s="133"/>
      <c r="P328" s="133"/>
    </row>
    <row r="329" spans="1:16" ht="62.1" customHeight="1">
      <c r="A329" s="132" t="s">
        <v>229</v>
      </c>
      <c r="B329" s="130">
        <f>SUM(C329:F329,L329:P329)</f>
        <v>11810</v>
      </c>
      <c r="C329" s="202"/>
      <c r="D329" s="202"/>
      <c r="E329" s="202"/>
      <c r="F329" s="202">
        <f t="shared" si="26"/>
        <v>0</v>
      </c>
      <c r="G329" s="133"/>
      <c r="H329" s="133"/>
      <c r="I329" s="133"/>
      <c r="J329" s="133"/>
      <c r="K329" s="133"/>
      <c r="L329" s="133">
        <f>7745+L330</f>
        <v>11810</v>
      </c>
      <c r="M329" s="133"/>
      <c r="N329" s="133"/>
      <c r="O329" s="133"/>
      <c r="P329" s="133"/>
    </row>
    <row r="330" spans="1:16" ht="32.25" customHeight="1">
      <c r="A330" s="251" t="s">
        <v>833</v>
      </c>
      <c r="B330" s="230">
        <f>SUM(C330:F330,L330:P330)</f>
        <v>4065</v>
      </c>
      <c r="C330" s="202"/>
      <c r="D330" s="202"/>
      <c r="E330" s="202"/>
      <c r="F330" s="202"/>
      <c r="G330" s="133"/>
      <c r="H330" s="133"/>
      <c r="I330" s="133"/>
      <c r="J330" s="133"/>
      <c r="K330" s="133"/>
      <c r="L330" s="133">
        <v>4065</v>
      </c>
      <c r="M330" s="133"/>
      <c r="N330" s="133"/>
      <c r="O330" s="133"/>
      <c r="P330" s="133"/>
    </row>
    <row r="331" spans="1:16" ht="20.25" customHeight="1">
      <c r="A331" s="131" t="s">
        <v>178</v>
      </c>
      <c r="B331" s="130">
        <f t="shared" si="30" ref="B331:B344">SUM(C331+F331,L331:P331)</f>
        <v>60613</v>
      </c>
      <c r="C331" s="213">
        <f>D331+E331</f>
        <v>55890</v>
      </c>
      <c r="D331" s="213">
        <f>42042+D332</f>
        <v>43259</v>
      </c>
      <c r="E331" s="213">
        <f>9741+E332</f>
        <v>12631</v>
      </c>
      <c r="F331" s="202">
        <f t="shared" si="26"/>
        <v>4723</v>
      </c>
      <c r="G331" s="157">
        <v>32</v>
      </c>
      <c r="H331" s="157">
        <v>1420</v>
      </c>
      <c r="I331" s="157">
        <v>3271</v>
      </c>
      <c r="J331" s="157"/>
      <c r="K331" s="157"/>
      <c r="L331" s="157"/>
      <c r="M331" s="157"/>
      <c r="N331" s="157"/>
      <c r="O331" s="157"/>
      <c r="P331" s="157"/>
    </row>
    <row r="332" spans="1:16" ht="20.25" customHeight="1">
      <c r="A332" s="250" t="s">
        <v>833</v>
      </c>
      <c r="B332" s="230">
        <f t="shared" si="30"/>
        <v>4107</v>
      </c>
      <c r="C332" s="213">
        <f>D332+E332</f>
        <v>4107</v>
      </c>
      <c r="D332" s="213">
        <v>1217</v>
      </c>
      <c r="E332" s="213">
        <v>2890</v>
      </c>
      <c r="F332" s="202">
        <f t="shared" si="26"/>
        <v>0</v>
      </c>
      <c r="G332" s="157"/>
      <c r="H332" s="157"/>
      <c r="I332" s="157"/>
      <c r="J332" s="157"/>
      <c r="K332" s="157"/>
      <c r="L332" s="157"/>
      <c r="M332" s="157"/>
      <c r="N332" s="157"/>
      <c r="O332" s="157"/>
      <c r="P332" s="157"/>
    </row>
    <row r="333" spans="1:16" ht="21.75" customHeight="1">
      <c r="A333" s="131" t="s">
        <v>179</v>
      </c>
      <c r="B333" s="130">
        <f t="shared" si="30"/>
        <v>36083</v>
      </c>
      <c r="C333" s="213">
        <f>D333</f>
        <v>937</v>
      </c>
      <c r="D333" s="213">
        <f>800+D334</f>
        <v>937</v>
      </c>
      <c r="E333" s="213">
        <f>0</f>
        <v>0</v>
      </c>
      <c r="F333" s="202">
        <f t="shared" si="31" ref="F333:F342">SUM(G333:K333)</f>
        <v>35146</v>
      </c>
      <c r="G333" s="157">
        <f>G334</f>
        <v>190</v>
      </c>
      <c r="H333" s="157">
        <f>24040+H334</f>
        <v>23713</v>
      </c>
      <c r="I333" s="157">
        <v>11243</v>
      </c>
      <c r="J333" s="157"/>
      <c r="K333" s="157"/>
      <c r="L333" s="157"/>
      <c r="M333" s="157"/>
      <c r="N333" s="157"/>
      <c r="O333" s="157"/>
      <c r="P333" s="157"/>
    </row>
    <row r="334" spans="1:16" ht="21.75" customHeight="1">
      <c r="A334" s="250" t="s">
        <v>833</v>
      </c>
      <c r="B334" s="230">
        <f t="shared" si="30"/>
        <v>0</v>
      </c>
      <c r="C334" s="213">
        <f>D334</f>
        <v>137</v>
      </c>
      <c r="D334" s="213">
        <v>137</v>
      </c>
      <c r="E334" s="213"/>
      <c r="F334" s="202">
        <f t="shared" si="31"/>
        <v>-137</v>
      </c>
      <c r="G334" s="157">
        <v>190</v>
      </c>
      <c r="H334" s="157">
        <v>-327</v>
      </c>
      <c r="I334" s="157"/>
      <c r="J334" s="157"/>
      <c r="K334" s="157"/>
      <c r="L334" s="157"/>
      <c r="M334" s="157"/>
      <c r="N334" s="157"/>
      <c r="O334" s="157"/>
      <c r="P334" s="157"/>
    </row>
    <row r="335" spans="1:16" ht="36" customHeight="1">
      <c r="A335" s="132" t="s">
        <v>42</v>
      </c>
      <c r="B335" s="130">
        <f t="shared" si="30"/>
        <v>67564</v>
      </c>
      <c r="C335" s="202">
        <f>D335+E335</f>
        <v>4353</v>
      </c>
      <c r="D335" s="202">
        <f>500+1497+D336</f>
        <v>3583</v>
      </c>
      <c r="E335" s="202">
        <f>386+E336</f>
        <v>770</v>
      </c>
      <c r="F335" s="202">
        <f t="shared" si="31"/>
        <v>63211</v>
      </c>
      <c r="G335" s="133">
        <f>G336</f>
        <v>59</v>
      </c>
      <c r="H335" s="133">
        <f>44700-1883+H336</f>
        <v>46844</v>
      </c>
      <c r="I335" s="133">
        <f>16300+I336</f>
        <v>16300</v>
      </c>
      <c r="J335" s="133"/>
      <c r="K335" s="133">
        <v>8</v>
      </c>
      <c r="L335" s="133"/>
      <c r="M335" s="133"/>
      <c r="N335" s="133"/>
      <c r="O335" s="133">
        <f>1000+O336</f>
        <v>0</v>
      </c>
      <c r="P335" s="133"/>
    </row>
    <row r="336" spans="1:16" ht="21" customHeight="1">
      <c r="A336" s="251" t="s">
        <v>833</v>
      </c>
      <c r="B336" s="230">
        <f t="shared" si="30"/>
        <v>5056</v>
      </c>
      <c r="C336" s="202">
        <f>D336+E336</f>
        <v>1970</v>
      </c>
      <c r="D336" s="202">
        <v>1586</v>
      </c>
      <c r="E336" s="202">
        <v>384</v>
      </c>
      <c r="F336" s="202">
        <f t="shared" si="31"/>
        <v>4086</v>
      </c>
      <c r="G336" s="133">
        <v>59</v>
      </c>
      <c r="H336" s="133">
        <v>4027</v>
      </c>
      <c r="I336" s="133"/>
      <c r="J336" s="133"/>
      <c r="K336" s="133"/>
      <c r="L336" s="133"/>
      <c r="M336" s="133"/>
      <c r="N336" s="133"/>
      <c r="O336" s="133">
        <v>-1000</v>
      </c>
      <c r="P336" s="133"/>
    </row>
    <row r="337" spans="1:16" ht="18.75" customHeight="1">
      <c r="A337" s="132" t="s">
        <v>43</v>
      </c>
      <c r="B337" s="130">
        <f>SUM(C337+F337,L337:P337)</f>
        <v>1113911</v>
      </c>
      <c r="C337" s="202">
        <f>D337+E337</f>
        <v>962861</v>
      </c>
      <c r="D337" s="202">
        <f>205853+332299+180571-4448+6303+57005</f>
        <v>777583</v>
      </c>
      <c r="E337" s="202">
        <f>50408+78389+42597-1049+1486+13447</f>
        <v>185278</v>
      </c>
      <c r="F337" s="202">
        <f t="shared" si="31"/>
        <v>121923</v>
      </c>
      <c r="G337" s="133"/>
      <c r="H337" s="133">
        <f>46839-720+307+H338</f>
        <v>44725</v>
      </c>
      <c r="I337" s="133">
        <f>73754+720+1260-307+I338</f>
        <v>77198</v>
      </c>
      <c r="J337" s="133"/>
      <c r="K337" s="133"/>
      <c r="L337" s="133"/>
      <c r="M337" s="133"/>
      <c r="N337" s="133">
        <f>27200+1997+N338</f>
        <v>29127</v>
      </c>
      <c r="O337" s="133"/>
      <c r="P337" s="133"/>
    </row>
    <row r="338" spans="1:16" ht="18.75" customHeight="1">
      <c r="A338" s="251" t="s">
        <v>833</v>
      </c>
      <c r="B338" s="130">
        <f>SUM(C338+F338,L338:P338)</f>
        <v>0</v>
      </c>
      <c r="C338" s="202"/>
      <c r="D338" s="202"/>
      <c r="E338" s="202"/>
      <c r="F338" s="202">
        <f t="shared" si="31"/>
        <v>70</v>
      </c>
      <c r="G338" s="133"/>
      <c r="H338" s="133">
        <f>-1026+(-675)</f>
        <v>-1701</v>
      </c>
      <c r="I338" s="133">
        <f>1096+675</f>
        <v>1771</v>
      </c>
      <c r="J338" s="133"/>
      <c r="K338" s="133"/>
      <c r="L338" s="133"/>
      <c r="M338" s="133"/>
      <c r="N338" s="133">
        <v>-70</v>
      </c>
      <c r="O338" s="133"/>
      <c r="P338" s="133"/>
    </row>
    <row r="339" spans="1:17" ht="18.75" customHeight="1">
      <c r="A339" s="132" t="s">
        <v>44</v>
      </c>
      <c r="B339" s="130">
        <f>SUM(C339+F339,L339:P339)</f>
        <v>698451</v>
      </c>
      <c r="C339" s="202">
        <f t="shared" si="32" ref="C339:C348">D339+E339</f>
        <v>617469</v>
      </c>
      <c r="D339" s="202">
        <f>133751+248476+66089-1236+1047+19833</f>
        <v>467960</v>
      </c>
      <c r="E339" s="202">
        <f>70668+58616+15591-292+247+4679</f>
        <v>149509</v>
      </c>
      <c r="F339" s="202">
        <f t="shared" si="31"/>
        <v>79418</v>
      </c>
      <c r="G339" s="133"/>
      <c r="H339" s="133">
        <v>30701</v>
      </c>
      <c r="I339" s="133">
        <f>48556+885+I340</f>
        <v>48717</v>
      </c>
      <c r="J339" s="133"/>
      <c r="K339" s="133"/>
      <c r="L339" s="133"/>
      <c r="M339" s="133"/>
      <c r="N339" s="133">
        <f>840+N340</f>
        <v>1564</v>
      </c>
      <c r="O339" s="133"/>
      <c r="P339" s="133"/>
      <c r="Q339" s="81"/>
    </row>
    <row r="340" spans="1:17" ht="18.75" customHeight="1">
      <c r="A340" s="251" t="s">
        <v>833</v>
      </c>
      <c r="B340" s="130">
        <f>SUM(C340+F340,L340:P340)</f>
        <v>0</v>
      </c>
      <c r="C340" s="202"/>
      <c r="D340" s="202"/>
      <c r="E340" s="202"/>
      <c r="F340" s="202">
        <f t="shared" si="31"/>
        <v>-724</v>
      </c>
      <c r="G340" s="133"/>
      <c r="H340" s="133"/>
      <c r="I340" s="133">
        <v>-724</v>
      </c>
      <c r="J340" s="133"/>
      <c r="K340" s="133"/>
      <c r="L340" s="133"/>
      <c r="M340" s="133"/>
      <c r="N340" s="133">
        <v>724</v>
      </c>
      <c r="O340" s="133"/>
      <c r="P340" s="133"/>
      <c r="Q340" s="81"/>
    </row>
    <row r="341" spans="1:16" ht="24.75" customHeight="1">
      <c r="A341" s="132" t="s">
        <v>45</v>
      </c>
      <c r="B341" s="130">
        <f t="shared" si="30"/>
        <v>139340</v>
      </c>
      <c r="C341" s="202">
        <f t="shared" si="32"/>
        <v>130372</v>
      </c>
      <c r="D341" s="202">
        <f>33320+51917+9968+10512+D342</f>
        <v>105075</v>
      </c>
      <c r="E341" s="202">
        <f>7871+12247+2352+2480+E342</f>
        <v>25297</v>
      </c>
      <c r="F341" s="202">
        <f t="shared" si="31"/>
        <v>8968</v>
      </c>
      <c r="G341" s="133"/>
      <c r="H341" s="133">
        <v>1049</v>
      </c>
      <c r="I341" s="133">
        <f>7534+90+I342</f>
        <v>7919</v>
      </c>
      <c r="J341" s="133"/>
      <c r="K341" s="133"/>
      <c r="L341" s="133"/>
      <c r="M341" s="133"/>
      <c r="N341" s="133"/>
      <c r="O341" s="133"/>
      <c r="P341" s="133"/>
    </row>
    <row r="342" spans="1:16" ht="24.75" customHeight="1">
      <c r="A342" s="251" t="s">
        <v>833</v>
      </c>
      <c r="B342" s="230">
        <f t="shared" si="30"/>
        <v>0</v>
      </c>
      <c r="C342" s="202">
        <f t="shared" si="32"/>
        <v>-295</v>
      </c>
      <c r="D342" s="202">
        <v>-642</v>
      </c>
      <c r="E342" s="202">
        <v>347</v>
      </c>
      <c r="F342" s="202">
        <f t="shared" si="31"/>
        <v>295</v>
      </c>
      <c r="G342" s="133"/>
      <c r="H342" s="133"/>
      <c r="I342" s="133">
        <v>295</v>
      </c>
      <c r="J342" s="133"/>
      <c r="K342" s="133"/>
      <c r="L342" s="133"/>
      <c r="M342" s="133"/>
      <c r="N342" s="133"/>
      <c r="O342" s="133"/>
      <c r="P342" s="133"/>
    </row>
    <row r="343" spans="1:16" ht="18" customHeight="1">
      <c r="A343" s="132" t="s">
        <v>46</v>
      </c>
      <c r="B343" s="130">
        <f t="shared" si="30"/>
        <v>365746</v>
      </c>
      <c r="C343" s="202">
        <f t="shared" si="32"/>
        <v>332550</v>
      </c>
      <c r="D343" s="202">
        <f>113286+115815+29627+11580+D344</f>
        <v>265018</v>
      </c>
      <c r="E343" s="202">
        <f>27200+27321+6989+2732+E344</f>
        <v>67532</v>
      </c>
      <c r="F343" s="202">
        <f t="shared" si="33" ref="F343:F360">SUM(G343:K343)</f>
        <v>33196</v>
      </c>
      <c r="G343" s="133"/>
      <c r="H343" s="133">
        <v>7862</v>
      </c>
      <c r="I343" s="133">
        <f>23124+210+I344</f>
        <v>25334</v>
      </c>
      <c r="J343" s="133"/>
      <c r="K343" s="133"/>
      <c r="L343" s="133"/>
      <c r="M343" s="133"/>
      <c r="N343" s="133"/>
      <c r="O343" s="133"/>
      <c r="P343" s="133"/>
    </row>
    <row r="344" spans="1:16" ht="18" customHeight="1">
      <c r="A344" s="251" t="s">
        <v>833</v>
      </c>
      <c r="B344" s="230">
        <f t="shared" si="30"/>
        <v>0</v>
      </c>
      <c r="C344" s="202">
        <f t="shared" si="32"/>
        <v>-2000</v>
      </c>
      <c r="D344" s="202">
        <f>-3290-2000</f>
        <v>-5290</v>
      </c>
      <c r="E344" s="202">
        <v>3290</v>
      </c>
      <c r="F344" s="202">
        <f t="shared" si="33"/>
        <v>2000</v>
      </c>
      <c r="G344" s="133"/>
      <c r="H344" s="133"/>
      <c r="I344" s="133">
        <v>2000</v>
      </c>
      <c r="J344" s="133"/>
      <c r="K344" s="133"/>
      <c r="L344" s="133"/>
      <c r="M344" s="133"/>
      <c r="N344" s="133"/>
      <c r="O344" s="133"/>
      <c r="P344" s="133"/>
    </row>
    <row r="345" spans="1:16" ht="30" customHeight="1">
      <c r="A345" s="132" t="s">
        <v>165</v>
      </c>
      <c r="B345" s="130">
        <f>SUM(C345+F345,L345:P345)</f>
        <v>341973</v>
      </c>
      <c r="C345" s="202">
        <f>D345+E345</f>
        <v>305889</v>
      </c>
      <c r="D345" s="202">
        <f>66002+115671+33578-2330+21086+D346</f>
        <v>238927</v>
      </c>
      <c r="E345" s="202">
        <f>15242+27287+7921-550+4974+E346</f>
        <v>66962</v>
      </c>
      <c r="F345" s="202">
        <f t="shared" si="33"/>
        <v>33237</v>
      </c>
      <c r="G345" s="133"/>
      <c r="H345" s="133">
        <f>8320+H346</f>
        <v>8320</v>
      </c>
      <c r="I345" s="133">
        <f>19685+465+933+I346</f>
        <v>24917</v>
      </c>
      <c r="J345" s="133"/>
      <c r="K345" s="133"/>
      <c r="L345" s="133"/>
      <c r="M345" s="133"/>
      <c r="N345" s="133">
        <f>2780+67</f>
        <v>2847</v>
      </c>
      <c r="O345" s="133"/>
      <c r="P345" s="133"/>
    </row>
    <row r="346" spans="1:16" ht="30" customHeight="1">
      <c r="A346" s="251" t="s">
        <v>833</v>
      </c>
      <c r="B346" s="230">
        <f>SUM(C346+F346,L346:P346)</f>
        <v>20842</v>
      </c>
      <c r="C346" s="202">
        <f>D346+E346</f>
        <v>17008</v>
      </c>
      <c r="D346" s="202">
        <v>4920</v>
      </c>
      <c r="E346" s="202">
        <v>12088</v>
      </c>
      <c r="F346" s="202">
        <f t="shared" si="33"/>
        <v>3834</v>
      </c>
      <c r="G346" s="133"/>
      <c r="H346" s="133"/>
      <c r="I346" s="133">
        <v>3834</v>
      </c>
      <c r="J346" s="133"/>
      <c r="K346" s="133"/>
      <c r="L346" s="133"/>
      <c r="M346" s="133"/>
      <c r="N346" s="133"/>
      <c r="O346" s="133"/>
      <c r="P346" s="133"/>
    </row>
    <row r="347" spans="1:16" ht="30" customHeight="1">
      <c r="A347" s="132" t="s">
        <v>166</v>
      </c>
      <c r="B347" s="130">
        <f>SUM(C347+F347,L347:P347)</f>
        <v>116803</v>
      </c>
      <c r="C347" s="202">
        <f t="shared" si="32"/>
        <v>88403</v>
      </c>
      <c r="D347" s="202">
        <f>38534+48829+13677+D348</f>
        <v>55172</v>
      </c>
      <c r="E347" s="202">
        <f>9185+11519+3227+E348</f>
        <v>33231</v>
      </c>
      <c r="F347" s="202">
        <f t="shared" si="33"/>
        <v>28400</v>
      </c>
      <c r="G347" s="133"/>
      <c r="H347" s="133">
        <v>6181</v>
      </c>
      <c r="I347" s="133">
        <f>22639-420</f>
        <v>22219</v>
      </c>
      <c r="J347" s="133"/>
      <c r="K347" s="133"/>
      <c r="L347" s="133"/>
      <c r="M347" s="133"/>
      <c r="N347" s="133"/>
      <c r="O347" s="133"/>
      <c r="P347" s="133"/>
    </row>
    <row r="348" spans="1:16" ht="30" customHeight="1">
      <c r="A348" s="251" t="s">
        <v>833</v>
      </c>
      <c r="B348" s="230">
        <f>SUM(C348+F348,L348:P348)</f>
        <v>-36568</v>
      </c>
      <c r="C348" s="202">
        <f t="shared" si="32"/>
        <v>-36568</v>
      </c>
      <c r="D348" s="202">
        <v>-45868</v>
      </c>
      <c r="E348" s="202">
        <v>9300</v>
      </c>
      <c r="F348" s="202"/>
      <c r="G348" s="133"/>
      <c r="H348" s="133"/>
      <c r="I348" s="133"/>
      <c r="J348" s="133"/>
      <c r="K348" s="133"/>
      <c r="L348" s="133"/>
      <c r="M348" s="133"/>
      <c r="N348" s="133"/>
      <c r="O348" s="133"/>
      <c r="P348" s="133"/>
    </row>
    <row r="349" spans="1:16" ht="20.25" customHeight="1">
      <c r="A349" s="132" t="s">
        <v>83</v>
      </c>
      <c r="B349" s="130">
        <f t="shared" si="34" ref="B349:B356">SUM(C349+F349,L349:P349)</f>
        <v>1604846</v>
      </c>
      <c r="C349" s="202">
        <f>E349+D349</f>
        <v>1218223</v>
      </c>
      <c r="D349" s="202">
        <f>150768+13739+14092+531868-6124+447+1562+271579+D350</f>
        <v>977349</v>
      </c>
      <c r="E349" s="202">
        <f>40988+3241+3324+125468-1445+105+368+64066+E350</f>
        <v>240874</v>
      </c>
      <c r="F349" s="202">
        <f t="shared" si="33"/>
        <v>374959</v>
      </c>
      <c r="G349" s="133">
        <f>400-155</f>
        <v>245</v>
      </c>
      <c r="H349" s="133">
        <v>97742</v>
      </c>
      <c r="I349" s="133">
        <f>270503+6870+857+I350</f>
        <v>276970</v>
      </c>
      <c r="J349" s="133"/>
      <c r="K349" s="133">
        <v>2</v>
      </c>
      <c r="L349" s="133"/>
      <c r="M349" s="133"/>
      <c r="N349" s="133">
        <f>9000+1404+N350</f>
        <v>11664</v>
      </c>
      <c r="O349" s="133"/>
      <c r="P349" s="133"/>
    </row>
    <row r="350" spans="1:16" ht="20.25" customHeight="1">
      <c r="A350" s="251" t="s">
        <v>833</v>
      </c>
      <c r="B350" s="130">
        <f t="shared" si="34"/>
        <v>4177</v>
      </c>
      <c r="C350" s="202">
        <f>E350+D350</f>
        <v>4177</v>
      </c>
      <c r="D350" s="202">
        <f>-3962+3380</f>
        <v>-582</v>
      </c>
      <c r="E350" s="202">
        <f>3962+797</f>
        <v>4759</v>
      </c>
      <c r="F350" s="202">
        <f t="shared" si="33"/>
        <v>-1260</v>
      </c>
      <c r="G350" s="133"/>
      <c r="H350" s="133"/>
      <c r="I350" s="133">
        <v>-1260</v>
      </c>
      <c r="J350" s="133"/>
      <c r="K350" s="133"/>
      <c r="L350" s="133"/>
      <c r="M350" s="133"/>
      <c r="N350" s="133">
        <v>1260</v>
      </c>
      <c r="O350" s="133"/>
      <c r="P350" s="133"/>
    </row>
    <row r="351" spans="1:20" s="120" customFormat="1" ht="21.75" customHeight="1">
      <c r="A351" s="134" t="s">
        <v>173</v>
      </c>
      <c r="B351" s="130">
        <f>SUM(C351+F351,L351:P351)</f>
        <v>594156</v>
      </c>
      <c r="C351" s="133">
        <f t="shared" si="35" ref="C351:C356">D351+E351</f>
        <v>510317</v>
      </c>
      <c r="D351" s="133">
        <f>166995+37835+85592+4932+13677+22041-4864+4274+70354+D352</f>
        <v>403217</v>
      </c>
      <c r="E351" s="133">
        <f>51076+8925+20192+1164+3227+5199-1148+1436+16597+E352</f>
        <v>107100</v>
      </c>
      <c r="F351" s="133">
        <f t="shared" si="33"/>
        <v>81505</v>
      </c>
      <c r="G351" s="133">
        <f>40+G352</f>
        <v>8</v>
      </c>
      <c r="H351" s="133">
        <f>16519+4500+H352</f>
        <v>22275</v>
      </c>
      <c r="I351" s="133">
        <f>64052-3615-229+I352</f>
        <v>58950</v>
      </c>
      <c r="J351" s="133"/>
      <c r="K351" s="133">
        <f>238+K352</f>
        <v>272</v>
      </c>
      <c r="L351" s="133"/>
      <c r="M351" s="133"/>
      <c r="N351" s="133">
        <v>2334</v>
      </c>
      <c r="O351" s="133"/>
      <c r="P351" s="133"/>
      <c r="Q351" s="239"/>
      <c r="R351" s="57"/>
      <c r="S351" s="57"/>
      <c r="T351" s="57"/>
    </row>
    <row r="352" spans="1:20" s="120" customFormat="1" ht="21" customHeight="1">
      <c r="A352" s="251" t="s">
        <v>833</v>
      </c>
      <c r="B352" s="130">
        <f>SUM(C352+F352,L352:P352)</f>
        <v>2813</v>
      </c>
      <c r="C352" s="133">
        <f t="shared" si="35"/>
        <v>2813</v>
      </c>
      <c r="D352" s="133">
        <v>2381</v>
      </c>
      <c r="E352" s="133">
        <v>432</v>
      </c>
      <c r="F352" s="133">
        <f t="shared" si="33"/>
        <v>0</v>
      </c>
      <c r="G352" s="133">
        <f>-16+(-16)</f>
        <v>-32</v>
      </c>
      <c r="H352" s="133">
        <f>1411-155</f>
        <v>1256</v>
      </c>
      <c r="I352" s="133">
        <f>-1429+171</f>
        <v>-1258</v>
      </c>
      <c r="J352" s="133"/>
      <c r="K352" s="133">
        <v>34</v>
      </c>
      <c r="L352" s="133"/>
      <c r="M352" s="133"/>
      <c r="N352" s="133"/>
      <c r="O352" s="133"/>
      <c r="P352" s="133"/>
      <c r="Q352" s="239"/>
      <c r="R352" s="57"/>
      <c r="S352" s="57"/>
      <c r="T352" s="57"/>
    </row>
    <row r="353" spans="1:16" ht="30" customHeight="1">
      <c r="A353" s="132" t="s">
        <v>233</v>
      </c>
      <c r="B353" s="130">
        <f t="shared" si="34"/>
        <v>20761</v>
      </c>
      <c r="C353" s="202">
        <f t="shared" si="35"/>
        <v>20193</v>
      </c>
      <c r="D353" s="202">
        <f>9500+8782+D354</f>
        <v>9856</v>
      </c>
      <c r="E353" s="202">
        <f>2262+2073+E354</f>
        <v>10337</v>
      </c>
      <c r="F353" s="202">
        <f t="shared" si="33"/>
        <v>568</v>
      </c>
      <c r="G353" s="133"/>
      <c r="H353" s="133">
        <f>1627+H354</f>
        <v>385</v>
      </c>
      <c r="I353" s="133">
        <f>3315+I354</f>
        <v>105</v>
      </c>
      <c r="J353" s="133"/>
      <c r="K353" s="133">
        <f>125+K354</f>
        <v>78</v>
      </c>
      <c r="L353" s="133"/>
      <c r="M353" s="133"/>
      <c r="N353" s="133"/>
      <c r="O353" s="133"/>
      <c r="P353" s="133"/>
    </row>
    <row r="354" spans="1:16" ht="30" customHeight="1">
      <c r="A354" s="251" t="s">
        <v>833</v>
      </c>
      <c r="B354" s="230">
        <f t="shared" si="34"/>
        <v>-6923</v>
      </c>
      <c r="C354" s="202">
        <f t="shared" si="35"/>
        <v>-2424</v>
      </c>
      <c r="D354" s="202">
        <f>-3879-4547</f>
        <v>-8426</v>
      </c>
      <c r="E354" s="202">
        <f>5845+157</f>
        <v>6002</v>
      </c>
      <c r="F354" s="202">
        <f t="shared" si="33"/>
        <v>-4499</v>
      </c>
      <c r="G354" s="133"/>
      <c r="H354" s="133">
        <v>-1242</v>
      </c>
      <c r="I354" s="133">
        <v>-3210</v>
      </c>
      <c r="J354" s="133"/>
      <c r="K354" s="133">
        <v>-47</v>
      </c>
      <c r="L354" s="133"/>
      <c r="M354" s="133"/>
      <c r="N354" s="133"/>
      <c r="O354" s="133"/>
      <c r="P354" s="133"/>
    </row>
    <row r="355" spans="1:16" ht="19.5" customHeight="1">
      <c r="A355" s="224" t="s">
        <v>167</v>
      </c>
      <c r="B355" s="130">
        <f t="shared" si="34"/>
        <v>661176</v>
      </c>
      <c r="C355" s="218">
        <f t="shared" si="35"/>
        <v>603576</v>
      </c>
      <c r="D355" s="262">
        <f>131068+8829+173522+1761+9774+44640+12846-3500+3156+108439+D356</f>
        <v>487369</v>
      </c>
      <c r="E355" s="262">
        <f>31409+2083+40934+415+2306+10531+3030-826+744+25581</f>
        <v>116207</v>
      </c>
      <c r="F355" s="217">
        <f t="shared" si="33"/>
        <v>53002</v>
      </c>
      <c r="G355" s="270">
        <f>G356</f>
        <v>16</v>
      </c>
      <c r="H355" s="256">
        <f>14862+H356</f>
        <v>11988</v>
      </c>
      <c r="I355" s="158">
        <f>35427+975-229+I356</f>
        <v>40955</v>
      </c>
      <c r="J355" s="158">
        <f>99+J356</f>
        <v>41</v>
      </c>
      <c r="K355" s="158">
        <f>K356</f>
        <v>2</v>
      </c>
      <c r="L355" s="158"/>
      <c r="M355" s="158"/>
      <c r="N355" s="158">
        <f>3300+N356</f>
        <v>4598</v>
      </c>
      <c r="O355" s="158"/>
      <c r="P355" s="158"/>
    </row>
    <row r="356" spans="1:16" ht="19.5" customHeight="1">
      <c r="A356" s="253" t="s">
        <v>833</v>
      </c>
      <c r="B356" s="130">
        <f t="shared" si="34"/>
        <v>0</v>
      </c>
      <c r="C356" s="218">
        <f t="shared" si="35"/>
        <v>-3166</v>
      </c>
      <c r="D356" s="213">
        <v>-3166</v>
      </c>
      <c r="E356" s="213"/>
      <c r="F356" s="202">
        <f t="shared" si="33"/>
        <v>1868</v>
      </c>
      <c r="G356" s="157">
        <v>16</v>
      </c>
      <c r="H356" s="157">
        <v>-2874</v>
      </c>
      <c r="I356" s="157">
        <f>1732+3050</f>
        <v>4782</v>
      </c>
      <c r="J356" s="157">
        <v>-58</v>
      </c>
      <c r="K356" s="157">
        <v>2</v>
      </c>
      <c r="L356" s="157"/>
      <c r="M356" s="157"/>
      <c r="N356" s="157">
        <f>1126+172</f>
        <v>1298</v>
      </c>
      <c r="O356" s="157"/>
      <c r="P356" s="157"/>
    </row>
    <row r="357" spans="1:16" ht="18.75" customHeight="1">
      <c r="A357" s="132" t="s">
        <v>47</v>
      </c>
      <c r="B357" s="130">
        <f t="shared" si="36" ref="B357:B367">SUM(C357+F357,L357:P357)</f>
        <v>523377</v>
      </c>
      <c r="C357" s="202">
        <f t="shared" si="37" ref="C357:C398">D357+E357</f>
        <v>473583</v>
      </c>
      <c r="D357" s="202">
        <f>124760+9774+3521+153572-1124+90533+D358</f>
        <v>376269</v>
      </c>
      <c r="E357" s="202">
        <f>29531+2306+831+36228-265+21358+E358</f>
        <v>97314</v>
      </c>
      <c r="F357" s="202">
        <f t="shared" si="33"/>
        <v>46814</v>
      </c>
      <c r="G357" s="133"/>
      <c r="H357" s="133">
        <f>17990+H358</f>
        <v>15412</v>
      </c>
      <c r="I357" s="133">
        <f>29031+990+229+I358</f>
        <v>31162</v>
      </c>
      <c r="J357" s="133"/>
      <c r="K357" s="133">
        <f>274+K358</f>
        <v>240</v>
      </c>
      <c r="L357" s="133"/>
      <c r="M357" s="133"/>
      <c r="N357" s="133">
        <f>1280+N358</f>
        <v>2980</v>
      </c>
      <c r="O357" s="133"/>
      <c r="P357" s="133"/>
    </row>
    <row r="358" spans="1:16" ht="18.75" customHeight="1">
      <c r="A358" s="251" t="s">
        <v>833</v>
      </c>
      <c r="B358" s="130">
        <f t="shared" si="36"/>
        <v>2558</v>
      </c>
      <c r="C358" s="202">
        <f t="shared" si="37"/>
        <v>2558</v>
      </c>
      <c r="D358" s="202">
        <f>-6837+2070</f>
        <v>-4767</v>
      </c>
      <c r="E358" s="202">
        <f>6837+488</f>
        <v>7325</v>
      </c>
      <c r="F358" s="202">
        <f t="shared" si="33"/>
        <v>-1700</v>
      </c>
      <c r="G358" s="133"/>
      <c r="H358" s="133">
        <v>-2578</v>
      </c>
      <c r="I358" s="133">
        <v>912</v>
      </c>
      <c r="J358" s="133"/>
      <c r="K358" s="133">
        <v>-34</v>
      </c>
      <c r="L358" s="133"/>
      <c r="M358" s="133"/>
      <c r="N358" s="133">
        <v>1700</v>
      </c>
      <c r="O358" s="133"/>
      <c r="P358" s="133"/>
    </row>
    <row r="359" spans="1:16" ht="22.5" customHeight="1">
      <c r="A359" s="132" t="s">
        <v>234</v>
      </c>
      <c r="B359" s="130">
        <f t="shared" si="36"/>
        <v>931038</v>
      </c>
      <c r="C359" s="202">
        <f>D359+E359</f>
        <v>803720</v>
      </c>
      <c r="D359" s="202">
        <f>135711+22320+8104+242117+54684+14810+6078-6502+157998+D360</f>
        <v>635320</v>
      </c>
      <c r="E359" s="202">
        <f>34398+5265+1912+57115+12890+3494+1434-1534+37271+E360</f>
        <v>168400</v>
      </c>
      <c r="F359" s="202">
        <f t="shared" si="33"/>
        <v>124129</v>
      </c>
      <c r="G359" s="133">
        <f>30+74+24+G360</f>
        <v>128</v>
      </c>
      <c r="H359" s="133">
        <f>23572-74+8733+H360</f>
        <v>34160</v>
      </c>
      <c r="I359" s="133">
        <f>49508+1635+31936+I360</f>
        <v>89834</v>
      </c>
      <c r="J359" s="133"/>
      <c r="K359" s="133">
        <v>7</v>
      </c>
      <c r="L359" s="133"/>
      <c r="M359" s="133"/>
      <c r="N359" s="133">
        <f>2139+1050</f>
        <v>3189</v>
      </c>
      <c r="O359" s="133"/>
      <c r="P359" s="133"/>
    </row>
    <row r="360" spans="1:16" ht="22.5" customHeight="1">
      <c r="A360" s="251" t="s">
        <v>833</v>
      </c>
      <c r="B360" s="230">
        <f t="shared" si="36"/>
        <v>24839</v>
      </c>
      <c r="C360" s="202">
        <f>D360+E360</f>
        <v>16155</v>
      </c>
      <c r="D360" s="202"/>
      <c r="E360" s="202">
        <v>16155</v>
      </c>
      <c r="F360" s="202">
        <f t="shared" si="33"/>
        <v>8684</v>
      </c>
      <c r="G360" s="133"/>
      <c r="H360" s="133">
        <v>1929</v>
      </c>
      <c r="I360" s="133">
        <f>1546+5209</f>
        <v>6755</v>
      </c>
      <c r="J360" s="133"/>
      <c r="K360" s="133"/>
      <c r="L360" s="133"/>
      <c r="M360" s="133"/>
      <c r="N360" s="133"/>
      <c r="O360" s="133"/>
      <c r="P360" s="133"/>
    </row>
    <row r="361" spans="1:16" ht="30" customHeight="1">
      <c r="A361" s="132" t="s">
        <v>236</v>
      </c>
      <c r="B361" s="130">
        <f>SUM(C361+F361,L361:P361)</f>
        <v>153943</v>
      </c>
      <c r="C361" s="202">
        <f t="shared" si="37"/>
        <v>131611</v>
      </c>
      <c r="D361" s="202">
        <f>52056+50820+D362</f>
        <v>104220</v>
      </c>
      <c r="E361" s="202">
        <f>13692+11988+E362</f>
        <v>27391</v>
      </c>
      <c r="F361" s="202">
        <f t="shared" si="38" ref="F361:F389">SUM(G361:K361)</f>
        <v>22332</v>
      </c>
      <c r="G361" s="133"/>
      <c r="H361" s="133">
        <v>5967</v>
      </c>
      <c r="I361" s="133">
        <v>16365</v>
      </c>
      <c r="J361" s="133"/>
      <c r="K361" s="133"/>
      <c r="L361" s="133"/>
      <c r="M361" s="133"/>
      <c r="N361" s="133"/>
      <c r="O361" s="133"/>
      <c r="P361" s="133"/>
    </row>
    <row r="362" spans="1:16" ht="30" customHeight="1">
      <c r="A362" s="251" t="s">
        <v>833</v>
      </c>
      <c r="B362" s="230">
        <f t="shared" si="36"/>
        <v>3055</v>
      </c>
      <c r="C362" s="202">
        <f t="shared" si="37"/>
        <v>3055</v>
      </c>
      <c r="D362" s="202">
        <v>1344</v>
      </c>
      <c r="E362" s="202">
        <v>1711</v>
      </c>
      <c r="F362" s="202">
        <f t="shared" si="38"/>
        <v>0</v>
      </c>
      <c r="G362" s="133"/>
      <c r="H362" s="133"/>
      <c r="I362" s="133"/>
      <c r="J362" s="133"/>
      <c r="K362" s="133"/>
      <c r="L362" s="133"/>
      <c r="M362" s="133"/>
      <c r="N362" s="133"/>
      <c r="O362" s="133"/>
      <c r="P362" s="133"/>
    </row>
    <row r="363" spans="1:16" ht="30" customHeight="1">
      <c r="A363" s="132" t="s">
        <v>235</v>
      </c>
      <c r="B363" s="130">
        <f t="shared" si="36"/>
        <v>88043</v>
      </c>
      <c r="C363" s="202">
        <f t="shared" si="37"/>
        <v>70645</v>
      </c>
      <c r="D363" s="202">
        <f>38834+36731+D364</f>
        <v>52192</v>
      </c>
      <c r="E363" s="202">
        <f>9788+8665</f>
        <v>18453</v>
      </c>
      <c r="F363" s="202">
        <f t="shared" si="38"/>
        <v>17398</v>
      </c>
      <c r="G363" s="133"/>
      <c r="H363" s="133">
        <v>11603</v>
      </c>
      <c r="I363" s="133">
        <v>5795</v>
      </c>
      <c r="J363" s="133"/>
      <c r="K363" s="133"/>
      <c r="L363" s="133"/>
      <c r="M363" s="133"/>
      <c r="N363" s="133"/>
      <c r="O363" s="133"/>
      <c r="P363" s="133"/>
    </row>
    <row r="364" spans="1:16" ht="30" customHeight="1">
      <c r="A364" s="251" t="s">
        <v>833</v>
      </c>
      <c r="B364" s="230">
        <f t="shared" si="36"/>
        <v>-23373</v>
      </c>
      <c r="C364" s="202">
        <f t="shared" si="37"/>
        <v>-23373</v>
      </c>
      <c r="D364" s="202">
        <v>-23373</v>
      </c>
      <c r="E364" s="202"/>
      <c r="F364" s="202">
        <f t="shared" si="38"/>
        <v>0</v>
      </c>
      <c r="G364" s="133"/>
      <c r="H364" s="133"/>
      <c r="I364" s="133"/>
      <c r="J364" s="133"/>
      <c r="K364" s="133"/>
      <c r="L364" s="133"/>
      <c r="M364" s="133"/>
      <c r="N364" s="133"/>
      <c r="O364" s="133"/>
      <c r="P364" s="133"/>
    </row>
    <row r="365" spans="1:16" ht="20.25" customHeight="1">
      <c r="A365" s="132" t="s">
        <v>163</v>
      </c>
      <c r="B365" s="130">
        <f t="shared" si="36"/>
        <v>492000</v>
      </c>
      <c r="C365" s="202">
        <f>D365+E365</f>
        <v>460755</v>
      </c>
      <c r="D365" s="202">
        <f>116483+128878+29498+3877+72336+4563+D366</f>
        <v>324543</v>
      </c>
      <c r="E365" s="202">
        <f>27687+30402+915+6958+17064+1077+E366</f>
        <v>136212</v>
      </c>
      <c r="F365" s="202">
        <f t="shared" si="38"/>
        <v>31004</v>
      </c>
      <c r="G365" s="133">
        <v>0</v>
      </c>
      <c r="H365" s="133">
        <v>11302</v>
      </c>
      <c r="I365" s="133">
        <f>22031-2569</f>
        <v>19462</v>
      </c>
      <c r="J365" s="133">
        <v>55</v>
      </c>
      <c r="K365" s="133">
        <v>185</v>
      </c>
      <c r="L365" s="133"/>
      <c r="M365" s="133"/>
      <c r="N365" s="133">
        <f>2037-1796</f>
        <v>241</v>
      </c>
      <c r="O365" s="133"/>
      <c r="P365" s="133"/>
    </row>
    <row r="366" spans="1:16" ht="20.25" customHeight="1">
      <c r="A366" s="251" t="s">
        <v>833</v>
      </c>
      <c r="B366" s="230">
        <f t="shared" si="36"/>
        <v>21017</v>
      </c>
      <c r="C366" s="202">
        <f>D366+E366</f>
        <v>21017</v>
      </c>
      <c r="D366" s="202">
        <v>-31092</v>
      </c>
      <c r="E366" s="202">
        <v>52109</v>
      </c>
      <c r="F366" s="202">
        <f t="shared" si="38"/>
        <v>0</v>
      </c>
      <c r="G366" s="133"/>
      <c r="H366" s="133"/>
      <c r="I366" s="133"/>
      <c r="J366" s="133"/>
      <c r="K366" s="133"/>
      <c r="L366" s="133"/>
      <c r="M366" s="133"/>
      <c r="N366" s="133"/>
      <c r="O366" s="133"/>
      <c r="P366" s="133"/>
    </row>
    <row r="367" spans="1:16" ht="20.25" customHeight="1">
      <c r="A367" s="132" t="s">
        <v>258</v>
      </c>
      <c r="B367" s="130">
        <f t="shared" si="36"/>
        <v>133916</v>
      </c>
      <c r="C367" s="202">
        <f t="shared" si="37"/>
        <v>96033</v>
      </c>
      <c r="D367" s="202">
        <v>77614</v>
      </c>
      <c r="E367" s="202">
        <v>18419</v>
      </c>
      <c r="F367" s="202">
        <f t="shared" si="38"/>
        <v>37883</v>
      </c>
      <c r="G367" s="133"/>
      <c r="H367" s="133">
        <f>9257-413</f>
        <v>8844</v>
      </c>
      <c r="I367" s="133">
        <f>30575-1586</f>
        <v>28989</v>
      </c>
      <c r="J367" s="133">
        <v>50</v>
      </c>
      <c r="K367" s="133"/>
      <c r="L367" s="133"/>
      <c r="M367" s="133"/>
      <c r="N367" s="133"/>
      <c r="O367" s="133"/>
      <c r="P367" s="133"/>
    </row>
    <row r="368" spans="1:16" ht="26.25" customHeight="1">
      <c r="A368" s="134" t="s">
        <v>48</v>
      </c>
      <c r="B368" s="130">
        <f t="shared" si="39" ref="B368:B373">SUM(C368+F368,L368:P368)</f>
        <v>1279736</v>
      </c>
      <c r="C368" s="202">
        <f t="shared" si="37"/>
        <v>1060861</v>
      </c>
      <c r="D368" s="202">
        <f>212945+8454+35255+407243-13152+207232+D369</f>
        <v>850955</v>
      </c>
      <c r="E368" s="202">
        <f>50721+1994+8317+96069-3103+48886+E369</f>
        <v>209906</v>
      </c>
      <c r="F368" s="202">
        <f>SUM(G368:K368)</f>
        <v>211604</v>
      </c>
      <c r="G368" s="133"/>
      <c r="H368" s="133">
        <f>63186+5273+H369</f>
        <v>79532</v>
      </c>
      <c r="I368" s="133">
        <f>130144+3825+I369</f>
        <v>132055</v>
      </c>
      <c r="J368" s="133"/>
      <c r="K368" s="133">
        <f>K369</f>
        <v>17</v>
      </c>
      <c r="L368" s="133"/>
      <c r="M368" s="133"/>
      <c r="N368" s="133">
        <f>6598+N369</f>
        <v>7271</v>
      </c>
      <c r="O368" s="133"/>
      <c r="P368" s="133"/>
    </row>
    <row r="369" spans="1:16" ht="26.25" customHeight="1">
      <c r="A369" s="251" t="s">
        <v>833</v>
      </c>
      <c r="B369" s="130">
        <f t="shared" si="39"/>
        <v>9849</v>
      </c>
      <c r="C369" s="202">
        <f t="shared" si="37"/>
        <v>0</v>
      </c>
      <c r="D369" s="202">
        <v>-7022</v>
      </c>
      <c r="E369" s="202">
        <v>7022</v>
      </c>
      <c r="F369" s="202">
        <f>SUM(G369:K369)</f>
        <v>9176</v>
      </c>
      <c r="G369" s="133"/>
      <c r="H369" s="133">
        <f>1224+9849</f>
        <v>11073</v>
      </c>
      <c r="I369" s="133">
        <v>-1914</v>
      </c>
      <c r="J369" s="133"/>
      <c r="K369" s="133">
        <v>17</v>
      </c>
      <c r="L369" s="133"/>
      <c r="M369" s="133"/>
      <c r="N369" s="133">
        <v>673</v>
      </c>
      <c r="O369" s="133"/>
      <c r="P369" s="133"/>
    </row>
    <row r="370" spans="1:16" ht="28.5" customHeight="1">
      <c r="A370" s="132" t="s">
        <v>737</v>
      </c>
      <c r="B370" s="130">
        <f t="shared" si="39"/>
        <v>831776</v>
      </c>
      <c r="C370" s="202">
        <f>D370+E370</f>
        <v>702164</v>
      </c>
      <c r="D370" s="202">
        <f>178637+8454+209654+25076-6128+3156+148345</f>
        <v>567194</v>
      </c>
      <c r="E370" s="202">
        <f>43308+1994+49458+5916-1445+744+34995</f>
        <v>134970</v>
      </c>
      <c r="F370" s="202">
        <f t="shared" si="38"/>
        <v>126574</v>
      </c>
      <c r="G370" s="133">
        <f>160+200+G371</f>
        <v>476</v>
      </c>
      <c r="H370" s="133">
        <f>35898-2849+H371</f>
        <v>31797</v>
      </c>
      <c r="I370" s="133">
        <f>76260+2835+5141+I371</f>
        <v>93636</v>
      </c>
      <c r="J370" s="133">
        <v>213</v>
      </c>
      <c r="K370" s="133">
        <f>306+10+K371</f>
        <v>452</v>
      </c>
      <c r="L370" s="133"/>
      <c r="M370" s="133"/>
      <c r="N370" s="133">
        <f>2000+1038</f>
        <v>3038</v>
      </c>
      <c r="O370" s="133"/>
      <c r="P370" s="133"/>
    </row>
    <row r="371" spans="1:16" ht="28.5" customHeight="1">
      <c r="A371" s="251" t="s">
        <v>833</v>
      </c>
      <c r="B371" s="130">
        <f t="shared" si="39"/>
        <v>8400</v>
      </c>
      <c r="C371" s="202">
        <f>D371+E371</f>
        <v>0</v>
      </c>
      <c r="D371" s="202"/>
      <c r="E371" s="202"/>
      <c r="F371" s="202">
        <f t="shared" si="38"/>
        <v>8400</v>
      </c>
      <c r="G371" s="133">
        <v>116</v>
      </c>
      <c r="H371" s="133">
        <v>-1252</v>
      </c>
      <c r="I371" s="133">
        <f>1000+8400</f>
        <v>9400</v>
      </c>
      <c r="J371" s="133"/>
      <c r="K371" s="133">
        <v>136</v>
      </c>
      <c r="L371" s="133"/>
      <c r="M371" s="133"/>
      <c r="N371" s="133"/>
      <c r="O371" s="133"/>
      <c r="P371" s="133"/>
    </row>
    <row r="372" spans="1:16" ht="30" customHeight="1">
      <c r="A372" s="132" t="s">
        <v>59</v>
      </c>
      <c r="B372" s="130">
        <f t="shared" si="39"/>
        <v>1228281</v>
      </c>
      <c r="C372" s="202">
        <f t="shared" si="37"/>
        <v>985978</v>
      </c>
      <c r="D372" s="202">
        <f>148405+51888+8803+224911+147261-11394+1722+961+186069+D373</f>
        <v>784696</v>
      </c>
      <c r="E372" s="202">
        <f>35706+12240+2077+53057+34739-2688+406+227+43893+E373</f>
        <v>201282</v>
      </c>
      <c r="F372" s="202">
        <f t="shared" si="38"/>
        <v>229108</v>
      </c>
      <c r="G372" s="133">
        <f>250+G373</f>
        <v>255</v>
      </c>
      <c r="H372" s="133">
        <f>82639+H373</f>
        <v>82204</v>
      </c>
      <c r="I372" s="133">
        <f>86831+59260+12+I373</f>
        <v>146528</v>
      </c>
      <c r="J372" s="133"/>
      <c r="K372" s="133">
        <f>116+K373</f>
        <v>121</v>
      </c>
      <c r="L372" s="133"/>
      <c r="M372" s="133"/>
      <c r="N372" s="133">
        <f>2566+29</f>
        <v>2595</v>
      </c>
      <c r="O372" s="133">
        <v>10600</v>
      </c>
      <c r="P372" s="133"/>
    </row>
    <row r="373" spans="1:16" ht="30" customHeight="1">
      <c r="A373" s="251" t="s">
        <v>833</v>
      </c>
      <c r="B373" s="130">
        <f t="shared" si="39"/>
        <v>47695</v>
      </c>
      <c r="C373" s="202">
        <f t="shared" si="37"/>
        <v>47695</v>
      </c>
      <c r="D373" s="202">
        <v>26070</v>
      </c>
      <c r="E373" s="202">
        <v>21625</v>
      </c>
      <c r="F373" s="202">
        <f t="shared" si="38"/>
        <v>0</v>
      </c>
      <c r="G373" s="133">
        <v>5</v>
      </c>
      <c r="H373" s="133">
        <v>-435</v>
      </c>
      <c r="I373" s="133">
        <v>425</v>
      </c>
      <c r="J373" s="133"/>
      <c r="K373" s="133">
        <v>5</v>
      </c>
      <c r="L373" s="133"/>
      <c r="M373" s="133"/>
      <c r="N373" s="133"/>
      <c r="O373" s="133"/>
      <c r="P373" s="133"/>
    </row>
    <row r="374" spans="1:16" ht="45" customHeight="1">
      <c r="A374" s="132" t="s">
        <v>706</v>
      </c>
      <c r="B374" s="130">
        <f t="shared" si="40" ref="B374:B388">SUM(C374+F374,L374:P374)</f>
        <v>72796</v>
      </c>
      <c r="C374" s="202">
        <f t="shared" si="37"/>
        <v>16631</v>
      </c>
      <c r="D374" s="202">
        <f>44329-7388-24763</f>
        <v>12178</v>
      </c>
      <c r="E374" s="202">
        <f>13084-1743-6888</f>
        <v>4453</v>
      </c>
      <c r="F374" s="202">
        <f t="shared" si="41" ref="F374:F381">SUM(G374:K374)</f>
        <v>56165</v>
      </c>
      <c r="G374" s="133">
        <f>40+G375</f>
        <v>40</v>
      </c>
      <c r="H374" s="133">
        <f>48280+6255-48+H375</f>
        <v>54487</v>
      </c>
      <c r="I374" s="133">
        <f>1590+33+I375</f>
        <v>1623</v>
      </c>
      <c r="J374" s="133"/>
      <c r="K374" s="133">
        <v>15</v>
      </c>
      <c r="L374" s="133"/>
      <c r="M374" s="133"/>
      <c r="N374" s="133"/>
      <c r="O374" s="133"/>
      <c r="P374" s="133"/>
    </row>
    <row r="375" spans="1:16" ht="27" customHeight="1">
      <c r="A375" s="251" t="s">
        <v>833</v>
      </c>
      <c r="B375" s="130">
        <f t="shared" si="40"/>
        <v>0</v>
      </c>
      <c r="C375" s="202"/>
      <c r="D375" s="202"/>
      <c r="E375" s="202"/>
      <c r="F375" s="202"/>
      <c r="G375" s="133"/>
      <c r="H375" s="133"/>
      <c r="I375" s="133"/>
      <c r="J375" s="133"/>
      <c r="K375" s="133"/>
      <c r="L375" s="133"/>
      <c r="M375" s="133"/>
      <c r="N375" s="133"/>
      <c r="O375" s="133"/>
      <c r="P375" s="133"/>
    </row>
    <row r="376" spans="1:16" ht="19.5" customHeight="1">
      <c r="A376" s="132" t="s">
        <v>170</v>
      </c>
      <c r="B376" s="130">
        <f t="shared" si="40"/>
        <v>576236</v>
      </c>
      <c r="C376" s="202">
        <f t="shared" si="42" ref="C376:C381">D376+E376</f>
        <v>482088</v>
      </c>
      <c r="D376" s="202">
        <f>95944+30680+48392+39720+75462-6546+3156+103009</f>
        <v>389817</v>
      </c>
      <c r="E376" s="202">
        <f>22948+7237+11416+9370+17802-1545+744+24299</f>
        <v>92271</v>
      </c>
      <c r="F376" s="202">
        <f t="shared" si="41"/>
        <v>90855</v>
      </c>
      <c r="G376" s="133">
        <f>G377</f>
        <v>16</v>
      </c>
      <c r="H376" s="133">
        <f>23526+3327+720+H377</f>
        <v>28681</v>
      </c>
      <c r="I376" s="133">
        <f>61057+1860-800+I377</f>
        <v>61600</v>
      </c>
      <c r="J376" s="133"/>
      <c r="K376" s="133">
        <v>558</v>
      </c>
      <c r="L376" s="133"/>
      <c r="M376" s="133"/>
      <c r="N376" s="133">
        <f>3900+N377</f>
        <v>3293</v>
      </c>
      <c r="O376" s="133"/>
      <c r="P376" s="133"/>
    </row>
    <row r="377" spans="1:16" ht="19.5" customHeight="1">
      <c r="A377" s="251" t="s">
        <v>833</v>
      </c>
      <c r="B377" s="130">
        <f t="shared" si="40"/>
        <v>0</v>
      </c>
      <c r="C377" s="202">
        <f t="shared" si="42"/>
        <v>0</v>
      </c>
      <c r="D377" s="202"/>
      <c r="E377" s="202"/>
      <c r="F377" s="202">
        <f t="shared" si="41"/>
        <v>607</v>
      </c>
      <c r="G377" s="133">
        <v>16</v>
      </c>
      <c r="H377" s="133">
        <v>1108</v>
      </c>
      <c r="I377" s="133">
        <v>-517</v>
      </c>
      <c r="J377" s="133"/>
      <c r="K377" s="133"/>
      <c r="L377" s="133"/>
      <c r="M377" s="133"/>
      <c r="N377" s="133">
        <v>-607</v>
      </c>
      <c r="O377" s="133"/>
      <c r="P377" s="133"/>
    </row>
    <row r="378" spans="1:16" ht="21.75" customHeight="1">
      <c r="A378" s="132" t="s">
        <v>162</v>
      </c>
      <c r="B378" s="130">
        <f t="shared" si="40"/>
        <v>829915</v>
      </c>
      <c r="C378" s="202">
        <f t="shared" si="42"/>
        <v>726005</v>
      </c>
      <c r="D378" s="202">
        <f>158345+59529+31491+138891+62186+5638-4612+8807+121+124780+D379</f>
        <v>587093</v>
      </c>
      <c r="E378" s="202">
        <f>37770+14043+7429+32765+14670+1330-1088+2077+28+29436+E379</f>
        <v>138912</v>
      </c>
      <c r="F378" s="202">
        <f t="shared" si="41"/>
        <v>97970</v>
      </c>
      <c r="G378" s="133"/>
      <c r="H378" s="133">
        <f>24232+H379</f>
        <v>24149</v>
      </c>
      <c r="I378" s="133">
        <f>72918+2325+1377+I379</f>
        <v>73608</v>
      </c>
      <c r="J378" s="133"/>
      <c r="K378" s="133">
        <f>210+K379</f>
        <v>213</v>
      </c>
      <c r="L378" s="133"/>
      <c r="M378" s="133"/>
      <c r="N378" s="133">
        <f>2300+548+N379</f>
        <v>5940</v>
      </c>
      <c r="O378" s="133"/>
      <c r="P378" s="133"/>
    </row>
    <row r="379" spans="1:16" ht="21.75" customHeight="1">
      <c r="A379" s="252" t="s">
        <v>833</v>
      </c>
      <c r="B379" s="130">
        <f t="shared" si="40"/>
        <v>2369</v>
      </c>
      <c r="C379" s="202">
        <f t="shared" si="42"/>
        <v>2369</v>
      </c>
      <c r="D379" s="202">
        <v>1917</v>
      </c>
      <c r="E379" s="202">
        <v>452</v>
      </c>
      <c r="F379" s="202">
        <f t="shared" si="41"/>
        <v>-3092</v>
      </c>
      <c r="G379" s="133"/>
      <c r="H379" s="133">
        <v>-83</v>
      </c>
      <c r="I379" s="133">
        <v>-3012</v>
      </c>
      <c r="J379" s="133"/>
      <c r="K379" s="133">
        <v>3</v>
      </c>
      <c r="L379" s="133"/>
      <c r="M379" s="133"/>
      <c r="N379" s="133">
        <v>3092</v>
      </c>
      <c r="O379" s="133"/>
      <c r="P379" s="133"/>
    </row>
    <row r="380" spans="1:16" ht="23.25" customHeight="1">
      <c r="A380" s="135" t="s">
        <v>175</v>
      </c>
      <c r="B380" s="130">
        <f t="shared" si="40"/>
        <v>972973</v>
      </c>
      <c r="C380" s="213">
        <f t="shared" si="42"/>
        <v>809257</v>
      </c>
      <c r="D380" s="213">
        <f>207321+17050+67501+7399+196165+38741-6684+3156+125790+D381</f>
        <v>653508</v>
      </c>
      <c r="E380" s="213">
        <f>49804+4022+15923+1745+46275+9139-1577+744+29674</f>
        <v>155749</v>
      </c>
      <c r="F380" s="202">
        <f t="shared" si="41"/>
        <v>146922</v>
      </c>
      <c r="G380" s="157">
        <f>160+G381</f>
        <v>16</v>
      </c>
      <c r="H380" s="157">
        <f>37273+H381</f>
        <v>32495</v>
      </c>
      <c r="I380" s="157">
        <f>88882-811+9440+1486+I381</f>
        <v>114180</v>
      </c>
      <c r="J380" s="157">
        <v>50</v>
      </c>
      <c r="K380" s="157">
        <f>K381</f>
        <v>181</v>
      </c>
      <c r="L380" s="157"/>
      <c r="M380" s="157"/>
      <c r="N380" s="157">
        <f>4000+811+8890+N381</f>
        <v>16794</v>
      </c>
      <c r="O380" s="157"/>
      <c r="P380" s="157"/>
    </row>
    <row r="381" spans="1:16" ht="23.25" customHeight="1">
      <c r="A381" s="253" t="s">
        <v>833</v>
      </c>
      <c r="B381" s="130">
        <f t="shared" si="40"/>
        <v>10604</v>
      </c>
      <c r="C381" s="213">
        <f t="shared" si="42"/>
        <v>-2931</v>
      </c>
      <c r="D381" s="213">
        <v>-2931</v>
      </c>
      <c r="E381" s="213"/>
      <c r="F381" s="202">
        <f t="shared" si="41"/>
        <v>10442</v>
      </c>
      <c r="G381" s="157">
        <v>-144</v>
      </c>
      <c r="H381" s="157">
        <v>-4778</v>
      </c>
      <c r="I381" s="157">
        <f>1649+13534</f>
        <v>15183</v>
      </c>
      <c r="J381" s="157"/>
      <c r="K381" s="157">
        <v>181</v>
      </c>
      <c r="L381" s="157"/>
      <c r="M381" s="157"/>
      <c r="N381" s="157">
        <v>3093</v>
      </c>
      <c r="O381" s="157"/>
      <c r="P381" s="157"/>
    </row>
    <row r="382" spans="1:16" ht="21" customHeight="1">
      <c r="A382" s="132" t="s">
        <v>49</v>
      </c>
      <c r="B382" s="130">
        <f t="shared" si="40"/>
        <v>770702</v>
      </c>
      <c r="C382" s="202">
        <f t="shared" si="37"/>
        <v>738767</v>
      </c>
      <c r="D382" s="202">
        <f>394927+203784</f>
        <v>598711</v>
      </c>
      <c r="E382" s="202">
        <f>91983+48073</f>
        <v>140056</v>
      </c>
      <c r="F382" s="202">
        <f t="shared" si="38"/>
        <v>29899</v>
      </c>
      <c r="G382" s="133">
        <f>1520+G383</f>
        <v>1240</v>
      </c>
      <c r="H382" s="133">
        <f>19736+500+H383</f>
        <v>19756</v>
      </c>
      <c r="I382" s="133">
        <f>8079+(-500)+I383</f>
        <v>8735</v>
      </c>
      <c r="J382" s="133"/>
      <c r="K382" s="133">
        <v>168</v>
      </c>
      <c r="L382" s="133"/>
      <c r="M382" s="133"/>
      <c r="N382" s="133">
        <f>1840+N383</f>
        <v>1444</v>
      </c>
      <c r="O382" s="133"/>
      <c r="P382" s="133">
        <v>592</v>
      </c>
    </row>
    <row r="383" spans="1:16" ht="21" customHeight="1">
      <c r="A383" s="251" t="s">
        <v>833</v>
      </c>
      <c r="B383" s="130">
        <f t="shared" si="40"/>
        <v>0</v>
      </c>
      <c r="C383" s="202"/>
      <c r="D383" s="202"/>
      <c r="E383" s="202"/>
      <c r="F383" s="202">
        <f t="shared" si="38"/>
        <v>396</v>
      </c>
      <c r="G383" s="133">
        <v>-280</v>
      </c>
      <c r="H383" s="133">
        <v>-480</v>
      </c>
      <c r="I383" s="133">
        <v>1156</v>
      </c>
      <c r="J383" s="133"/>
      <c r="K383" s="133"/>
      <c r="L383" s="133"/>
      <c r="M383" s="133"/>
      <c r="N383" s="133">
        <v>-396</v>
      </c>
      <c r="O383" s="133"/>
      <c r="P383" s="133"/>
    </row>
    <row r="384" spans="1:16" ht="21.75" customHeight="1">
      <c r="A384" s="132" t="s">
        <v>50</v>
      </c>
      <c r="B384" s="130">
        <f t="shared" si="40"/>
        <v>230079</v>
      </c>
      <c r="C384" s="202">
        <f>D384+E384</f>
        <v>203286</v>
      </c>
      <c r="D384" s="202">
        <f>137865+25569</f>
        <v>163434</v>
      </c>
      <c r="E384" s="202">
        <f>33820+6032</f>
        <v>39852</v>
      </c>
      <c r="F384" s="202">
        <f>SUM(G384:K384)</f>
        <v>25034</v>
      </c>
      <c r="G384" s="202">
        <v>106</v>
      </c>
      <c r="H384" s="133">
        <f>13537+500+(-1300)+H385</f>
        <v>10737</v>
      </c>
      <c r="I384" s="133">
        <f>11218+(-500)+1300+I385</f>
        <v>14188</v>
      </c>
      <c r="J384" s="133"/>
      <c r="K384" s="133">
        <f>K385</f>
        <v>3</v>
      </c>
      <c r="L384" s="133"/>
      <c r="M384" s="133"/>
      <c r="N384" s="133">
        <f>1200+N385</f>
        <v>1027</v>
      </c>
      <c r="O384" s="133"/>
      <c r="P384" s="133">
        <v>732</v>
      </c>
    </row>
    <row r="385" spans="1:16" ht="21.75" customHeight="1">
      <c r="A385" s="251" t="s">
        <v>833</v>
      </c>
      <c r="B385" s="130">
        <f t="shared" si="40"/>
        <v>0</v>
      </c>
      <c r="C385" s="202"/>
      <c r="D385" s="202"/>
      <c r="E385" s="202"/>
      <c r="F385" s="202">
        <f>SUM(G385:K385)</f>
        <v>173</v>
      </c>
      <c r="G385" s="202"/>
      <c r="H385" s="133">
        <f>-1335-665</f>
        <v>-2000</v>
      </c>
      <c r="I385" s="133">
        <f>1505+665</f>
        <v>2170</v>
      </c>
      <c r="J385" s="133"/>
      <c r="K385" s="133">
        <v>3</v>
      </c>
      <c r="L385" s="133"/>
      <c r="M385" s="133"/>
      <c r="N385" s="133">
        <v>-173</v>
      </c>
      <c r="O385" s="133"/>
      <c r="P385" s="133"/>
    </row>
    <row r="386" spans="1:16" ht="29.25" customHeight="1">
      <c r="A386" s="277" t="s">
        <v>169</v>
      </c>
      <c r="B386" s="130">
        <f>SUM(C386+F386,L386:P386)</f>
        <v>171299</v>
      </c>
      <c r="C386" s="202">
        <f>D386+E386</f>
        <v>155037</v>
      </c>
      <c r="D386" s="202">
        <f>125197+D387</f>
        <v>108482</v>
      </c>
      <c r="E386" s="202">
        <f>29840+E387</f>
        <v>46555</v>
      </c>
      <c r="F386" s="202">
        <f t="shared" si="38"/>
        <v>15700</v>
      </c>
      <c r="G386" s="133">
        <f>120+G387</f>
        <v>0</v>
      </c>
      <c r="H386" s="133">
        <f>8485+H387</f>
        <v>6595</v>
      </c>
      <c r="I386" s="133">
        <f>7215+I387</f>
        <v>9105</v>
      </c>
      <c r="J386" s="133">
        <f>73+J387</f>
        <v>0</v>
      </c>
      <c r="K386" s="133"/>
      <c r="L386" s="133"/>
      <c r="M386" s="133"/>
      <c r="N386" s="133">
        <f>1590+N387</f>
        <v>0</v>
      </c>
      <c r="O386" s="133"/>
      <c r="P386" s="133">
        <v>562</v>
      </c>
    </row>
    <row r="387" spans="1:16" ht="29.25" customHeight="1">
      <c r="A387" s="282" t="s">
        <v>833</v>
      </c>
      <c r="B387" s="230">
        <f>SUM(C387+F387,L387:P387)</f>
        <v>-1783</v>
      </c>
      <c r="C387" s="202">
        <f>D387+E387</f>
        <v>0</v>
      </c>
      <c r="D387" s="202">
        <v>-16715</v>
      </c>
      <c r="E387" s="202">
        <v>16715</v>
      </c>
      <c r="F387" s="202">
        <f t="shared" si="38"/>
        <v>-193</v>
      </c>
      <c r="G387" s="133">
        <v>-120</v>
      </c>
      <c r="H387" s="133">
        <v>-1890</v>
      </c>
      <c r="I387" s="133">
        <v>1890</v>
      </c>
      <c r="J387" s="133">
        <v>-73</v>
      </c>
      <c r="K387" s="133"/>
      <c r="L387" s="133"/>
      <c r="M387" s="133"/>
      <c r="N387" s="133">
        <v>-1590</v>
      </c>
      <c r="O387" s="133"/>
      <c r="P387" s="133"/>
    </row>
    <row r="388" spans="1:16" ht="24.75" customHeight="1">
      <c r="A388" s="134" t="s">
        <v>161</v>
      </c>
      <c r="B388" s="130">
        <f t="shared" si="40"/>
        <v>151606</v>
      </c>
      <c r="C388" s="203">
        <f t="shared" si="37"/>
        <v>143639</v>
      </c>
      <c r="D388" s="202">
        <v>116075</v>
      </c>
      <c r="E388" s="202">
        <v>27564</v>
      </c>
      <c r="F388" s="202">
        <f>SUM(G388:K388)</f>
        <v>5835</v>
      </c>
      <c r="G388" s="133">
        <v>130</v>
      </c>
      <c r="H388" s="133">
        <f>2040+H389</f>
        <v>1745</v>
      </c>
      <c r="I388" s="133">
        <f>3385+I389</f>
        <v>3960</v>
      </c>
      <c r="J388" s="133"/>
      <c r="K388" s="133"/>
      <c r="L388" s="133"/>
      <c r="M388" s="133"/>
      <c r="N388" s="133">
        <f>800+N389</f>
        <v>520</v>
      </c>
      <c r="O388" s="133"/>
      <c r="P388" s="133">
        <v>1612</v>
      </c>
    </row>
    <row r="389" spans="1:16" ht="24.75" customHeight="1">
      <c r="A389" s="251" t="s">
        <v>833</v>
      </c>
      <c r="B389" s="130">
        <f t="shared" si="43" ref="B389:B424">SUM(C389+F389,L389:P389)</f>
        <v>0</v>
      </c>
      <c r="C389" s="203"/>
      <c r="D389" s="202"/>
      <c r="E389" s="202"/>
      <c r="F389" s="202">
        <f t="shared" si="38"/>
        <v>280</v>
      </c>
      <c r="G389" s="133"/>
      <c r="H389" s="133">
        <f>-680+385</f>
        <v>-295</v>
      </c>
      <c r="I389" s="133">
        <v>575</v>
      </c>
      <c r="J389" s="133"/>
      <c r="K389" s="133"/>
      <c r="L389" s="133"/>
      <c r="M389" s="133"/>
      <c r="N389" s="133">
        <v>-280</v>
      </c>
      <c r="O389" s="133"/>
      <c r="P389" s="133"/>
    </row>
    <row r="390" spans="1:16" ht="24.75" customHeight="1">
      <c r="A390" s="132" t="s">
        <v>51</v>
      </c>
      <c r="B390" s="130">
        <f>SUM(C390+F390,L390:P390)</f>
        <v>661507</v>
      </c>
      <c r="C390" s="203">
        <f t="shared" si="37"/>
        <v>571135</v>
      </c>
      <c r="D390" s="202">
        <f>461518+(-14988)+7976</f>
        <v>454506</v>
      </c>
      <c r="E390" s="202">
        <f>114747+1882</f>
        <v>116629</v>
      </c>
      <c r="F390" s="202">
        <f>SUM(G390:K390)</f>
        <v>71755</v>
      </c>
      <c r="G390" s="133">
        <f>13000-1300+G391</f>
        <v>6191</v>
      </c>
      <c r="H390" s="133">
        <f>24966+1300+H391</f>
        <v>26068</v>
      </c>
      <c r="I390" s="133">
        <f>35180-2070+I391</f>
        <v>38896</v>
      </c>
      <c r="J390" s="133"/>
      <c r="K390" s="133">
        <v>600</v>
      </c>
      <c r="L390" s="133"/>
      <c r="M390" s="133"/>
      <c r="N390" s="133">
        <f>14988+2070+N391</f>
        <v>18617</v>
      </c>
      <c r="O390" s="133"/>
      <c r="P390" s="133"/>
    </row>
    <row r="391" spans="1:16" ht="24.75" customHeight="1">
      <c r="A391" s="251" t="s">
        <v>833</v>
      </c>
      <c r="B391" s="130">
        <f>SUM(C391+F391,L391:P391)</f>
        <v>1638</v>
      </c>
      <c r="C391" s="203">
        <f t="shared" si="37"/>
        <v>0</v>
      </c>
      <c r="D391" s="202"/>
      <c r="E391" s="202"/>
      <c r="F391" s="202">
        <f>SUM(G391:K391)</f>
        <v>79</v>
      </c>
      <c r="G391" s="133">
        <v>-5509</v>
      </c>
      <c r="H391" s="133">
        <v>-198</v>
      </c>
      <c r="I391" s="133">
        <f>5786</f>
        <v>5786</v>
      </c>
      <c r="J391" s="133"/>
      <c r="K391" s="133"/>
      <c r="L391" s="133"/>
      <c r="M391" s="133"/>
      <c r="N391" s="133">
        <f>-79+1638</f>
        <v>1559</v>
      </c>
      <c r="O391" s="133"/>
      <c r="P391" s="133"/>
    </row>
    <row r="392" spans="1:16" ht="24.75" customHeight="1">
      <c r="A392" s="134" t="s">
        <v>58</v>
      </c>
      <c r="B392" s="130">
        <f t="shared" si="43"/>
        <v>237403</v>
      </c>
      <c r="C392" s="202">
        <f t="shared" si="37"/>
        <v>103250</v>
      </c>
      <c r="D392" s="202">
        <f>70175+D393</f>
        <v>80189</v>
      </c>
      <c r="E392" s="202">
        <f>19919+E393</f>
        <v>23061</v>
      </c>
      <c r="F392" s="202">
        <f t="shared" si="44" ref="F392:F420">SUM(G392:K392)</f>
        <v>131835</v>
      </c>
      <c r="G392" s="133"/>
      <c r="H392" s="133">
        <f>122405+H393</f>
        <v>118202</v>
      </c>
      <c r="I392" s="133">
        <f>11748+I393</f>
        <v>13633</v>
      </c>
      <c r="J392" s="133"/>
      <c r="K392" s="133"/>
      <c r="L392" s="133"/>
      <c r="M392" s="133"/>
      <c r="N392" s="133">
        <f>N393</f>
        <v>2318</v>
      </c>
      <c r="O392" s="133"/>
      <c r="P392" s="133"/>
    </row>
    <row r="393" spans="1:16" ht="24.75" customHeight="1">
      <c r="A393" s="251" t="s">
        <v>833</v>
      </c>
      <c r="B393" s="130">
        <f t="shared" si="43"/>
        <v>13156</v>
      </c>
      <c r="C393" s="202">
        <f t="shared" si="37"/>
        <v>13156</v>
      </c>
      <c r="D393" s="202">
        <v>10014</v>
      </c>
      <c r="E393" s="202">
        <v>3142</v>
      </c>
      <c r="F393" s="202">
        <f t="shared" si="44"/>
        <v>-2318</v>
      </c>
      <c r="G393" s="133"/>
      <c r="H393" s="133">
        <f>-3518-685</f>
        <v>-4203</v>
      </c>
      <c r="I393" s="133">
        <f>1200+685</f>
        <v>1885</v>
      </c>
      <c r="J393" s="133"/>
      <c r="K393" s="133"/>
      <c r="L393" s="133"/>
      <c r="M393" s="133"/>
      <c r="N393" s="133">
        <v>2318</v>
      </c>
      <c r="O393" s="133"/>
      <c r="P393" s="133"/>
    </row>
    <row r="394" spans="1:16" ht="30" customHeight="1">
      <c r="A394" s="134" t="s">
        <v>237</v>
      </c>
      <c r="B394" s="130">
        <f>SUM(C394+F394,L394:P394)</f>
        <v>286100</v>
      </c>
      <c r="C394" s="202">
        <f t="shared" si="37"/>
        <v>242169</v>
      </c>
      <c r="D394" s="202">
        <f>130124+21778+28979+15053</f>
        <v>195934</v>
      </c>
      <c r="E394" s="202">
        <f>30710+5138+6836+3551</f>
        <v>46235</v>
      </c>
      <c r="F394" s="202">
        <f t="shared" si="44"/>
        <v>43931</v>
      </c>
      <c r="G394" s="133">
        <f>300+G395</f>
        <v>516</v>
      </c>
      <c r="H394" s="133">
        <f>27551+H395</f>
        <v>28201</v>
      </c>
      <c r="I394" s="133">
        <f>16080+I395</f>
        <v>15214</v>
      </c>
      <c r="J394" s="133"/>
      <c r="K394" s="133"/>
      <c r="L394" s="133"/>
      <c r="M394" s="133"/>
      <c r="N394" s="133"/>
      <c r="O394" s="133"/>
      <c r="P394" s="133"/>
    </row>
    <row r="395" spans="1:16" ht="30" customHeight="1">
      <c r="A395" s="251" t="s">
        <v>833</v>
      </c>
      <c r="B395" s="130">
        <f>SUM(C395+F395,L395:P395)</f>
        <v>0</v>
      </c>
      <c r="C395" s="202"/>
      <c r="D395" s="202"/>
      <c r="E395" s="202"/>
      <c r="F395" s="202">
        <f t="shared" si="44"/>
        <v>0</v>
      </c>
      <c r="G395" s="133">
        <v>216</v>
      </c>
      <c r="H395" s="133">
        <v>650</v>
      </c>
      <c r="I395" s="133">
        <v>-866</v>
      </c>
      <c r="J395" s="133"/>
      <c r="K395" s="133"/>
      <c r="L395" s="133"/>
      <c r="M395" s="133"/>
      <c r="N395" s="133"/>
      <c r="O395" s="133"/>
      <c r="P395" s="133"/>
    </row>
    <row r="396" spans="1:16" ht="23.25" customHeight="1">
      <c r="A396" s="134" t="s">
        <v>168</v>
      </c>
      <c r="B396" s="130">
        <f t="shared" si="43"/>
        <v>245793</v>
      </c>
      <c r="C396" s="202">
        <f t="shared" si="37"/>
        <v>236740</v>
      </c>
      <c r="D396" s="202">
        <v>192440</v>
      </c>
      <c r="E396" s="202">
        <v>44300</v>
      </c>
      <c r="F396" s="202">
        <f t="shared" si="44"/>
        <v>9053</v>
      </c>
      <c r="G396" s="133">
        <v>440</v>
      </c>
      <c r="H396" s="133">
        <v>3533</v>
      </c>
      <c r="I396" s="133">
        <v>4930</v>
      </c>
      <c r="J396" s="133"/>
      <c r="K396" s="133">
        <v>150</v>
      </c>
      <c r="L396" s="133"/>
      <c r="M396" s="133"/>
      <c r="N396" s="133">
        <v>0</v>
      </c>
      <c r="O396" s="133"/>
      <c r="P396" s="133">
        <v>0</v>
      </c>
    </row>
    <row r="397" spans="1:16" ht="26.25" customHeight="1">
      <c r="A397" s="134" t="s">
        <v>177</v>
      </c>
      <c r="B397" s="130">
        <f t="shared" si="43"/>
        <v>74488</v>
      </c>
      <c r="C397" s="202">
        <f t="shared" si="37"/>
        <v>8560</v>
      </c>
      <c r="D397" s="202">
        <v>8560</v>
      </c>
      <c r="E397" s="219"/>
      <c r="F397" s="202">
        <f t="shared" si="44"/>
        <v>53478</v>
      </c>
      <c r="G397" s="133">
        <v>1120</v>
      </c>
      <c r="H397" s="133">
        <v>4030</v>
      </c>
      <c r="I397" s="133">
        <f>34270+I398</f>
        <v>48328</v>
      </c>
      <c r="J397" s="133"/>
      <c r="K397" s="133"/>
      <c r="L397" s="133"/>
      <c r="M397" s="133"/>
      <c r="N397" s="133"/>
      <c r="O397" s="133">
        <f>9000+O398</f>
        <v>12450</v>
      </c>
      <c r="P397" s="133"/>
    </row>
    <row r="398" spans="1:16" ht="26.25" customHeight="1">
      <c r="A398" s="251" t="s">
        <v>833</v>
      </c>
      <c r="B398" s="230">
        <f t="shared" si="43"/>
        <v>17508</v>
      </c>
      <c r="C398" s="202">
        <f t="shared" si="37"/>
        <v>0</v>
      </c>
      <c r="D398" s="202"/>
      <c r="E398" s="219"/>
      <c r="F398" s="202">
        <f t="shared" si="44"/>
        <v>14058</v>
      </c>
      <c r="G398" s="133"/>
      <c r="H398" s="133"/>
      <c r="I398" s="133">
        <v>14058</v>
      </c>
      <c r="J398" s="133"/>
      <c r="K398" s="133"/>
      <c r="L398" s="133"/>
      <c r="M398" s="133"/>
      <c r="N398" s="133"/>
      <c r="O398" s="133">
        <v>3450</v>
      </c>
      <c r="P398" s="133"/>
    </row>
    <row r="399" spans="1:16" ht="30.75" customHeight="1">
      <c r="A399" s="134" t="s">
        <v>67</v>
      </c>
      <c r="B399" s="130">
        <f>SUM(C399+F399,L399:P399)</f>
        <v>48689</v>
      </c>
      <c r="C399" s="202"/>
      <c r="D399" s="202"/>
      <c r="E399" s="202"/>
      <c r="F399" s="202">
        <f>SUM(G399:K399)</f>
        <v>48689</v>
      </c>
      <c r="G399" s="133"/>
      <c r="H399" s="133">
        <f>12789+35900+H400</f>
        <v>47867</v>
      </c>
      <c r="I399" s="133">
        <f>I400</f>
        <v>822</v>
      </c>
      <c r="J399" s="133"/>
      <c r="K399" s="133"/>
      <c r="L399" s="133"/>
      <c r="M399" s="133"/>
      <c r="N399" s="133"/>
      <c r="O399" s="133"/>
      <c r="P399" s="133"/>
    </row>
    <row r="400" spans="1:16" ht="22.5" customHeight="1">
      <c r="A400" s="251" t="s">
        <v>833</v>
      </c>
      <c r="B400" s="230">
        <f>SUM(C400+F400,L400:P400)</f>
        <v>0</v>
      </c>
      <c r="C400" s="202"/>
      <c r="D400" s="202"/>
      <c r="E400" s="202"/>
      <c r="F400" s="202">
        <f>SUM(G400:K400)</f>
        <v>0</v>
      </c>
      <c r="G400" s="133"/>
      <c r="H400" s="133">
        <v>-822</v>
      </c>
      <c r="I400" s="133">
        <v>822</v>
      </c>
      <c r="J400" s="133"/>
      <c r="K400" s="133"/>
      <c r="L400" s="133"/>
      <c r="M400" s="133"/>
      <c r="N400" s="133"/>
      <c r="O400" s="133"/>
      <c r="P400" s="133"/>
    </row>
    <row r="401" spans="1:16" ht="42" customHeight="1">
      <c r="A401" s="129" t="s">
        <v>209</v>
      </c>
      <c r="B401" s="130">
        <f t="shared" si="43"/>
        <v>20373</v>
      </c>
      <c r="C401" s="202">
        <f t="shared" si="45" ref="C401:C409">D401+E401</f>
        <v>7920</v>
      </c>
      <c r="D401" s="202">
        <f>6163+D402</f>
        <v>6320</v>
      </c>
      <c r="E401" s="202">
        <f>1454+E402</f>
        <v>1600</v>
      </c>
      <c r="F401" s="202">
        <f t="shared" si="44"/>
        <v>12345</v>
      </c>
      <c r="G401" s="133"/>
      <c r="H401" s="133">
        <f>5537+H402</f>
        <v>5689</v>
      </c>
      <c r="I401" s="133">
        <f>5670+I402</f>
        <v>6500</v>
      </c>
      <c r="J401" s="133"/>
      <c r="K401" s="133">
        <f>256+K402</f>
        <v>156</v>
      </c>
      <c r="L401" s="133"/>
      <c r="M401" s="133"/>
      <c r="N401" s="133">
        <f>N402</f>
        <v>108</v>
      </c>
      <c r="O401" s="133"/>
      <c r="P401" s="127"/>
    </row>
    <row r="402" spans="1:16" ht="28.5" customHeight="1">
      <c r="A402" s="251" t="s">
        <v>833</v>
      </c>
      <c r="B402" s="230">
        <f t="shared" si="43"/>
        <v>1293</v>
      </c>
      <c r="C402" s="202">
        <f t="shared" si="45"/>
        <v>303</v>
      </c>
      <c r="D402" s="202">
        <v>157</v>
      </c>
      <c r="E402" s="202">
        <v>146</v>
      </c>
      <c r="F402" s="202">
        <f t="shared" si="44"/>
        <v>882</v>
      </c>
      <c r="G402" s="133"/>
      <c r="H402" s="133">
        <v>152</v>
      </c>
      <c r="I402" s="133">
        <v>830</v>
      </c>
      <c r="J402" s="133"/>
      <c r="K402" s="133">
        <v>-100</v>
      </c>
      <c r="L402" s="133"/>
      <c r="M402" s="133"/>
      <c r="N402" s="133">
        <v>108</v>
      </c>
      <c r="O402" s="133"/>
      <c r="P402" s="127"/>
    </row>
    <row r="403" spans="1:16" ht="30" customHeight="1">
      <c r="A403" s="134" t="s">
        <v>195</v>
      </c>
      <c r="B403" s="130">
        <f t="shared" si="43"/>
        <v>20934</v>
      </c>
      <c r="C403" s="202">
        <f>D403+E403</f>
        <v>14313</v>
      </c>
      <c r="D403" s="202">
        <v>11604</v>
      </c>
      <c r="E403" s="202">
        <v>2709</v>
      </c>
      <c r="F403" s="202">
        <f t="shared" si="44"/>
        <v>6621</v>
      </c>
      <c r="G403" s="133">
        <v>24</v>
      </c>
      <c r="H403" s="133">
        <v>3619</v>
      </c>
      <c r="I403" s="133">
        <v>2858</v>
      </c>
      <c r="J403" s="133"/>
      <c r="K403" s="133">
        <v>120</v>
      </c>
      <c r="L403" s="133"/>
      <c r="M403" s="133"/>
      <c r="N403" s="133"/>
      <c r="O403" s="133"/>
      <c r="P403" s="133"/>
    </row>
    <row r="404" spans="1:16" ht="30" customHeight="1">
      <c r="A404" s="132" t="s">
        <v>196</v>
      </c>
      <c r="B404" s="130">
        <f>SUM(C404+F404,L404:P404)</f>
        <v>27677</v>
      </c>
      <c r="C404" s="202">
        <f t="shared" si="45"/>
        <v>14717</v>
      </c>
      <c r="D404" s="202">
        <f>11808+100</f>
        <v>11908</v>
      </c>
      <c r="E404" s="202">
        <v>2809</v>
      </c>
      <c r="F404" s="202">
        <f>SUM(G404:K404)</f>
        <v>12960</v>
      </c>
      <c r="G404" s="133">
        <v>80</v>
      </c>
      <c r="H404" s="133">
        <f>3660+(-4322)+10022</f>
        <v>9360</v>
      </c>
      <c r="I404" s="133">
        <f>4500+(-1100)</f>
        <v>3400</v>
      </c>
      <c r="J404" s="133"/>
      <c r="K404" s="133">
        <v>120</v>
      </c>
      <c r="L404" s="133"/>
      <c r="M404" s="133"/>
      <c r="N404" s="133">
        <f>4322+(-4322)</f>
        <v>0</v>
      </c>
      <c r="O404" s="133"/>
      <c r="P404" s="133"/>
    </row>
    <row r="405" spans="1:16" ht="30" customHeight="1">
      <c r="A405" s="132" t="s">
        <v>192</v>
      </c>
      <c r="B405" s="130">
        <f t="shared" si="43"/>
        <v>26799</v>
      </c>
      <c r="C405" s="202">
        <f t="shared" si="45"/>
        <v>12995</v>
      </c>
      <c r="D405" s="202">
        <f>10272+D406</f>
        <v>10472</v>
      </c>
      <c r="E405" s="202">
        <f>2423+100</f>
        <v>2523</v>
      </c>
      <c r="F405" s="202">
        <f t="shared" si="44"/>
        <v>13804</v>
      </c>
      <c r="G405" s="133"/>
      <c r="H405" s="133">
        <f>5306+H406</f>
        <v>4571</v>
      </c>
      <c r="I405" s="133">
        <v>9130</v>
      </c>
      <c r="J405" s="133"/>
      <c r="K405" s="133">
        <v>103</v>
      </c>
      <c r="L405" s="133"/>
      <c r="M405" s="133"/>
      <c r="N405" s="133"/>
      <c r="O405" s="133"/>
      <c r="P405" s="133"/>
    </row>
    <row r="406" spans="1:16" ht="30" customHeight="1">
      <c r="A406" s="251" t="s">
        <v>833</v>
      </c>
      <c r="B406" s="130">
        <f t="shared" si="43"/>
        <v>-535</v>
      </c>
      <c r="C406" s="202">
        <f t="shared" si="45"/>
        <v>200</v>
      </c>
      <c r="D406" s="202">
        <v>200</v>
      </c>
      <c r="E406" s="202"/>
      <c r="F406" s="202">
        <f t="shared" si="44"/>
        <v>-735</v>
      </c>
      <c r="G406" s="133"/>
      <c r="H406" s="133">
        <v>-735</v>
      </c>
      <c r="I406" s="133"/>
      <c r="J406" s="133"/>
      <c r="K406" s="133"/>
      <c r="L406" s="133"/>
      <c r="M406" s="133"/>
      <c r="N406" s="133"/>
      <c r="O406" s="133"/>
      <c r="P406" s="133"/>
    </row>
    <row r="407" spans="1:16" ht="30" customHeight="1">
      <c r="A407" s="132" t="s">
        <v>212</v>
      </c>
      <c r="B407" s="130">
        <f t="shared" si="43"/>
        <v>24564</v>
      </c>
      <c r="C407" s="202">
        <f t="shared" si="45"/>
        <v>14001</v>
      </c>
      <c r="D407" s="202">
        <f>10548+D408</f>
        <v>11103</v>
      </c>
      <c r="E407" s="202">
        <f>2488+E408</f>
        <v>2898</v>
      </c>
      <c r="F407" s="202">
        <f t="shared" si="44"/>
        <v>10459</v>
      </c>
      <c r="G407" s="133">
        <f>120+G408</f>
        <v>86</v>
      </c>
      <c r="H407" s="133">
        <v>2748</v>
      </c>
      <c r="I407" s="133">
        <f>8540+I408</f>
        <v>7385</v>
      </c>
      <c r="J407" s="133"/>
      <c r="K407" s="133">
        <f>120+K408</f>
        <v>240</v>
      </c>
      <c r="L407" s="133"/>
      <c r="M407" s="133"/>
      <c r="N407" s="133">
        <f>N408</f>
        <v>104</v>
      </c>
      <c r="O407" s="133"/>
      <c r="P407" s="133"/>
    </row>
    <row r="408" spans="1:16" ht="30" customHeight="1">
      <c r="A408" s="251" t="s">
        <v>833</v>
      </c>
      <c r="B408" s="130">
        <f t="shared" si="43"/>
        <v>0</v>
      </c>
      <c r="C408" s="202">
        <f t="shared" si="45"/>
        <v>965</v>
      </c>
      <c r="D408" s="202">
        <v>555</v>
      </c>
      <c r="E408" s="202">
        <v>410</v>
      </c>
      <c r="F408" s="202">
        <f t="shared" si="44"/>
        <v>-1069</v>
      </c>
      <c r="G408" s="133">
        <v>-34</v>
      </c>
      <c r="H408" s="133"/>
      <c r="I408" s="133">
        <f>-190-965</f>
        <v>-1155</v>
      </c>
      <c r="J408" s="133"/>
      <c r="K408" s="133">
        <v>120</v>
      </c>
      <c r="L408" s="133"/>
      <c r="M408" s="133"/>
      <c r="N408" s="133">
        <v>104</v>
      </c>
      <c r="O408" s="133"/>
      <c r="P408" s="133"/>
    </row>
    <row r="409" spans="1:16" ht="30" customHeight="1">
      <c r="A409" s="132" t="s">
        <v>194</v>
      </c>
      <c r="B409" s="130">
        <f t="shared" si="43"/>
        <v>20840</v>
      </c>
      <c r="C409" s="202">
        <f t="shared" si="45"/>
        <v>12117</v>
      </c>
      <c r="D409" s="202">
        <v>9804</v>
      </c>
      <c r="E409" s="202">
        <v>2313</v>
      </c>
      <c r="F409" s="202">
        <f t="shared" si="44"/>
        <v>8723</v>
      </c>
      <c r="G409" s="133">
        <v>180</v>
      </c>
      <c r="H409" s="133">
        <f>5083+H410</f>
        <v>4173</v>
      </c>
      <c r="I409" s="133">
        <v>4250</v>
      </c>
      <c r="J409" s="133"/>
      <c r="K409" s="133">
        <v>120</v>
      </c>
      <c r="L409" s="133"/>
      <c r="M409" s="133"/>
      <c r="N409" s="133"/>
      <c r="O409" s="133"/>
      <c r="P409" s="133"/>
    </row>
    <row r="410" spans="1:16" ht="30" customHeight="1">
      <c r="A410" s="252" t="s">
        <v>833</v>
      </c>
      <c r="B410" s="130">
        <f t="shared" si="43"/>
        <v>-910</v>
      </c>
      <c r="C410" s="257"/>
      <c r="D410" s="216"/>
      <c r="E410" s="202"/>
      <c r="F410" s="202">
        <f t="shared" si="44"/>
        <v>-910</v>
      </c>
      <c r="G410" s="133"/>
      <c r="H410" s="133">
        <v>-910</v>
      </c>
      <c r="I410" s="133"/>
      <c r="J410" s="133"/>
      <c r="K410" s="133"/>
      <c r="L410" s="133"/>
      <c r="M410" s="133"/>
      <c r="N410" s="133"/>
      <c r="O410" s="133"/>
      <c r="P410" s="133"/>
    </row>
    <row r="411" spans="1:16" ht="30" customHeight="1">
      <c r="A411" s="135" t="s">
        <v>202</v>
      </c>
      <c r="B411" s="231">
        <f>SUM(C411+F411,L411:P411)</f>
        <v>102284</v>
      </c>
      <c r="C411" s="220">
        <f>D411+E411</f>
        <v>44921</v>
      </c>
      <c r="D411" s="214">
        <f>31098+515+D412</f>
        <v>35545</v>
      </c>
      <c r="E411" s="214">
        <f>8972+E412</f>
        <v>9376</v>
      </c>
      <c r="F411" s="202">
        <f t="shared" si="44"/>
        <v>57363</v>
      </c>
      <c r="G411" s="256">
        <f>240+(-180)+G412</f>
        <v>152</v>
      </c>
      <c r="H411" s="158">
        <f>12160+1165+3500+H412</f>
        <v>19340</v>
      </c>
      <c r="I411" s="158">
        <f>41700+(-1500)+I412</f>
        <v>37411</v>
      </c>
      <c r="J411" s="158"/>
      <c r="K411" s="158">
        <v>460</v>
      </c>
      <c r="L411" s="158"/>
      <c r="M411" s="158"/>
      <c r="N411" s="158"/>
      <c r="O411" s="158"/>
      <c r="P411" s="158"/>
    </row>
    <row r="412" spans="1:16" ht="30" customHeight="1">
      <c r="A412" s="253" t="s">
        <v>833</v>
      </c>
      <c r="B412" s="231">
        <f>SUM(C412+F412,L412:P412)</f>
        <v>4154</v>
      </c>
      <c r="C412" s="220">
        <f>D412+E412</f>
        <v>4336</v>
      </c>
      <c r="D412" s="213">
        <f>182+3750</f>
        <v>3932</v>
      </c>
      <c r="E412" s="213">
        <v>404</v>
      </c>
      <c r="F412" s="259">
        <f t="shared" si="44"/>
        <v>-182</v>
      </c>
      <c r="G412" s="157">
        <v>92</v>
      </c>
      <c r="H412" s="157">
        <v>2515</v>
      </c>
      <c r="I412" s="157">
        <v>-2789</v>
      </c>
      <c r="J412" s="157"/>
      <c r="K412" s="157"/>
      <c r="L412" s="157"/>
      <c r="M412" s="157"/>
      <c r="N412" s="157"/>
      <c r="O412" s="157"/>
      <c r="P412" s="157"/>
    </row>
    <row r="413" spans="1:16" ht="30" customHeight="1">
      <c r="A413" s="132" t="s">
        <v>734</v>
      </c>
      <c r="B413" s="130">
        <f t="shared" si="43"/>
        <v>34075</v>
      </c>
      <c r="C413" s="202">
        <f t="shared" si="46" ref="C413:C424">D413+E413</f>
        <v>19555</v>
      </c>
      <c r="D413" s="202">
        <v>15822</v>
      </c>
      <c r="E413" s="202">
        <v>3733</v>
      </c>
      <c r="F413" s="202">
        <f t="shared" si="44"/>
        <v>14520</v>
      </c>
      <c r="G413" s="133">
        <v>32</v>
      </c>
      <c r="H413" s="133">
        <f>1953+H414</f>
        <v>11125</v>
      </c>
      <c r="I413" s="133">
        <f>1995+I414</f>
        <v>3193</v>
      </c>
      <c r="J413" s="133"/>
      <c r="K413" s="133">
        <v>170</v>
      </c>
      <c r="L413" s="133"/>
      <c r="M413" s="133"/>
      <c r="N413" s="133"/>
      <c r="O413" s="133"/>
      <c r="P413" s="133"/>
    </row>
    <row r="414" spans="1:16" ht="30" customHeight="1">
      <c r="A414" s="251" t="s">
        <v>833</v>
      </c>
      <c r="B414" s="230">
        <f t="shared" si="43"/>
        <v>10370</v>
      </c>
      <c r="C414" s="202">
        <f t="shared" si="46"/>
        <v>0</v>
      </c>
      <c r="D414" s="202"/>
      <c r="E414" s="202"/>
      <c r="F414" s="202">
        <f t="shared" si="44"/>
        <v>10370</v>
      </c>
      <c r="G414" s="133"/>
      <c r="H414" s="133">
        <v>9172</v>
      </c>
      <c r="I414" s="133">
        <v>1198</v>
      </c>
      <c r="J414" s="133"/>
      <c r="K414" s="133"/>
      <c r="L414" s="133"/>
      <c r="M414" s="133"/>
      <c r="N414" s="133"/>
      <c r="O414" s="133"/>
      <c r="P414" s="133"/>
    </row>
    <row r="415" spans="1:16" ht="30" customHeight="1">
      <c r="A415" s="132" t="s">
        <v>160</v>
      </c>
      <c r="B415" s="130">
        <f>SUM(C415+F415,L415:P415)</f>
        <v>50275</v>
      </c>
      <c r="C415" s="202">
        <f t="shared" si="46"/>
        <v>19007</v>
      </c>
      <c r="D415" s="202">
        <f>9804+D416</f>
        <v>15489</v>
      </c>
      <c r="E415" s="202">
        <f>2313+E416</f>
        <v>3518</v>
      </c>
      <c r="F415" s="202">
        <f>SUM(G415:K415)</f>
        <v>31268</v>
      </c>
      <c r="G415" s="133">
        <v>40</v>
      </c>
      <c r="H415" s="133">
        <f>6099+8788+H416</f>
        <v>15340</v>
      </c>
      <c r="I415" s="133">
        <f>10232+I416</f>
        <v>15732</v>
      </c>
      <c r="J415" s="133"/>
      <c r="K415" s="133">
        <v>156</v>
      </c>
      <c r="L415" s="133"/>
      <c r="M415" s="133"/>
      <c r="N415" s="133"/>
      <c r="O415" s="133"/>
      <c r="P415" s="133"/>
    </row>
    <row r="416" spans="1:16" ht="30" customHeight="1">
      <c r="A416" s="251" t="s">
        <v>833</v>
      </c>
      <c r="B416" s="230">
        <f>SUM(C416+F416,L416:P416)</f>
        <v>12843</v>
      </c>
      <c r="C416" s="202">
        <f t="shared" si="46"/>
        <v>6890</v>
      </c>
      <c r="D416" s="202">
        <v>5685</v>
      </c>
      <c r="E416" s="202">
        <v>1205</v>
      </c>
      <c r="F416" s="202">
        <f>SUM(G416:K416)</f>
        <v>5953</v>
      </c>
      <c r="G416" s="133"/>
      <c r="H416" s="133">
        <v>453</v>
      </c>
      <c r="I416" s="133">
        <v>5500</v>
      </c>
      <c r="J416" s="133"/>
      <c r="K416" s="133"/>
      <c r="L416" s="133"/>
      <c r="M416" s="133"/>
      <c r="N416" s="133"/>
      <c r="O416" s="133"/>
      <c r="P416" s="133"/>
    </row>
    <row r="417" spans="1:16" ht="25.5" customHeight="1">
      <c r="A417" s="132" t="s">
        <v>214</v>
      </c>
      <c r="B417" s="130">
        <f t="shared" si="43"/>
        <v>34852</v>
      </c>
      <c r="C417" s="202">
        <f t="shared" si="46"/>
        <v>23084</v>
      </c>
      <c r="D417" s="202">
        <f>18648+30</f>
        <v>18678</v>
      </c>
      <c r="E417" s="202">
        <v>4406</v>
      </c>
      <c r="F417" s="202">
        <f t="shared" si="44"/>
        <v>11696</v>
      </c>
      <c r="G417" s="133"/>
      <c r="H417" s="133">
        <v>6301</v>
      </c>
      <c r="I417" s="133">
        <f>5995+I418</f>
        <v>4995</v>
      </c>
      <c r="J417" s="133"/>
      <c r="K417" s="133">
        <v>400</v>
      </c>
      <c r="L417" s="133"/>
      <c r="M417" s="133"/>
      <c r="N417" s="133">
        <v>72</v>
      </c>
      <c r="O417" s="133"/>
      <c r="P417" s="133"/>
    </row>
    <row r="418" spans="1:16" ht="23.25" customHeight="1">
      <c r="A418" s="251" t="s">
        <v>833</v>
      </c>
      <c r="B418" s="130">
        <f t="shared" si="43"/>
        <v>-1000</v>
      </c>
      <c r="C418" s="202"/>
      <c r="D418" s="202"/>
      <c r="E418" s="202"/>
      <c r="F418" s="202">
        <f t="shared" si="44"/>
        <v>-1000</v>
      </c>
      <c r="G418" s="133"/>
      <c r="H418" s="133"/>
      <c r="I418" s="133">
        <v>-1000</v>
      </c>
      <c r="J418" s="133"/>
      <c r="K418" s="133"/>
      <c r="L418" s="133"/>
      <c r="M418" s="133"/>
      <c r="N418" s="133"/>
      <c r="O418" s="133"/>
      <c r="P418" s="133"/>
    </row>
    <row r="419" spans="1:16" ht="30" customHeight="1">
      <c r="A419" s="132" t="s">
        <v>208</v>
      </c>
      <c r="B419" s="130">
        <f t="shared" si="43"/>
        <v>23818</v>
      </c>
      <c r="C419" s="202">
        <f t="shared" si="46"/>
        <v>12695</v>
      </c>
      <c r="D419" s="202">
        <v>10272</v>
      </c>
      <c r="E419" s="202">
        <v>2423</v>
      </c>
      <c r="F419" s="133">
        <f t="shared" si="44"/>
        <v>11051</v>
      </c>
      <c r="G419" s="133">
        <f>60+G420</f>
        <v>0</v>
      </c>
      <c r="H419" s="133">
        <f>3288+H420</f>
        <v>5507</v>
      </c>
      <c r="I419" s="133">
        <v>5196</v>
      </c>
      <c r="J419" s="133"/>
      <c r="K419" s="133">
        <f>404+K420</f>
        <v>348</v>
      </c>
      <c r="L419" s="133"/>
      <c r="M419" s="133"/>
      <c r="N419" s="133">
        <f>N420</f>
        <v>72</v>
      </c>
      <c r="O419" s="133"/>
      <c r="P419" s="133"/>
    </row>
    <row r="420" spans="1:16" ht="30" customHeight="1">
      <c r="A420" s="251" t="s">
        <v>833</v>
      </c>
      <c r="B420" s="130">
        <f>SUM(C420+F420,L420:P420)</f>
        <v>2175</v>
      </c>
      <c r="C420" s="202">
        <f t="shared" si="46"/>
        <v>0</v>
      </c>
      <c r="D420" s="202"/>
      <c r="E420" s="202"/>
      <c r="F420" s="202">
        <f t="shared" si="44"/>
        <v>2103</v>
      </c>
      <c r="G420" s="133">
        <v>-60</v>
      </c>
      <c r="H420" s="133">
        <f>407+910+902</f>
        <v>2219</v>
      </c>
      <c r="I420" s="133"/>
      <c r="J420" s="133"/>
      <c r="K420" s="133">
        <v>-56</v>
      </c>
      <c r="L420" s="133"/>
      <c r="M420" s="133"/>
      <c r="N420" s="133">
        <v>72</v>
      </c>
      <c r="O420" s="133"/>
      <c r="P420" s="133"/>
    </row>
    <row r="421" spans="1:16" ht="24.75" customHeight="1">
      <c r="A421" s="132" t="s">
        <v>210</v>
      </c>
      <c r="B421" s="130">
        <f t="shared" si="43"/>
        <v>32526.98</v>
      </c>
      <c r="C421" s="202">
        <f t="shared" si="46"/>
        <v>18258.98</v>
      </c>
      <c r="D421" s="202">
        <f>10272+640+D422</f>
        <v>14961</v>
      </c>
      <c r="E421" s="202">
        <f>2423+150.98+E422</f>
        <v>3297.98</v>
      </c>
      <c r="F421" s="202">
        <f>SUM(G421:K421)</f>
        <v>14160</v>
      </c>
      <c r="G421" s="133"/>
      <c r="H421" s="133">
        <f>6036+902+H422</f>
        <v>8087</v>
      </c>
      <c r="I421" s="133">
        <f>3750+558+I422</f>
        <v>5679</v>
      </c>
      <c r="J421" s="133"/>
      <c r="K421" s="133">
        <f>222+K422</f>
        <v>394</v>
      </c>
      <c r="L421" s="133"/>
      <c r="M421" s="133"/>
      <c r="N421" s="133">
        <f>N422</f>
        <v>108</v>
      </c>
      <c r="O421" s="133"/>
      <c r="P421" s="133"/>
    </row>
    <row r="422" spans="1:16" ht="19.5" customHeight="1">
      <c r="A422" s="251" t="s">
        <v>833</v>
      </c>
      <c r="B422" s="230">
        <f>SUM(C422+F422,L422:P422)</f>
        <v>7573</v>
      </c>
      <c r="C422" s="202">
        <f t="shared" si="46"/>
        <v>4773</v>
      </c>
      <c r="D422" s="202">
        <v>4049</v>
      </c>
      <c r="E422" s="202">
        <v>724</v>
      </c>
      <c r="F422" s="202">
        <f>SUM(G422:K422)</f>
        <v>2692</v>
      </c>
      <c r="G422" s="133"/>
      <c r="H422" s="133">
        <v>1149</v>
      </c>
      <c r="I422" s="133">
        <v>1371</v>
      </c>
      <c r="J422" s="133"/>
      <c r="K422" s="133">
        <v>172</v>
      </c>
      <c r="L422" s="133"/>
      <c r="M422" s="133"/>
      <c r="N422" s="133">
        <v>108</v>
      </c>
      <c r="O422" s="133"/>
      <c r="P422" s="133"/>
    </row>
    <row r="423" spans="1:16" ht="30" customHeight="1">
      <c r="A423" s="132" t="s">
        <v>201</v>
      </c>
      <c r="B423" s="130">
        <f t="shared" si="43"/>
        <v>31847</v>
      </c>
      <c r="C423" s="202">
        <f t="shared" si="46"/>
        <v>16229</v>
      </c>
      <c r="D423" s="202">
        <f>10548+100+D424</f>
        <v>12964</v>
      </c>
      <c r="E423" s="202">
        <f>2512+E424</f>
        <v>3265</v>
      </c>
      <c r="F423" s="202">
        <f t="shared" si="47" ref="F423:F469">SUM(G423:K423)</f>
        <v>15618</v>
      </c>
      <c r="G423" s="133">
        <v>104</v>
      </c>
      <c r="H423" s="133">
        <f>2540+H424</f>
        <v>3990</v>
      </c>
      <c r="I423" s="133">
        <f>12774+I424</f>
        <v>11324</v>
      </c>
      <c r="J423" s="133"/>
      <c r="K423" s="133">
        <v>200</v>
      </c>
      <c r="L423" s="133"/>
      <c r="M423" s="133"/>
      <c r="N423" s="133"/>
      <c r="O423" s="133"/>
      <c r="P423" s="133"/>
    </row>
    <row r="424" spans="1:16" ht="30" customHeight="1">
      <c r="A424" s="251" t="s">
        <v>833</v>
      </c>
      <c r="B424" s="130">
        <f t="shared" si="43"/>
        <v>3069</v>
      </c>
      <c r="C424" s="202">
        <f t="shared" si="46"/>
        <v>3069</v>
      </c>
      <c r="D424" s="202">
        <v>2316</v>
      </c>
      <c r="E424" s="202">
        <v>753</v>
      </c>
      <c r="F424" s="202">
        <f t="shared" si="47"/>
        <v>0</v>
      </c>
      <c r="G424" s="133"/>
      <c r="H424" s="133">
        <v>1450</v>
      </c>
      <c r="I424" s="133">
        <v>-1450</v>
      </c>
      <c r="J424" s="133"/>
      <c r="K424" s="133"/>
      <c r="L424" s="133"/>
      <c r="M424" s="133"/>
      <c r="N424" s="133"/>
      <c r="O424" s="133"/>
      <c r="P424" s="133"/>
    </row>
    <row r="425" spans="1:16" ht="30" customHeight="1">
      <c r="A425" s="132" t="s">
        <v>52</v>
      </c>
      <c r="B425" s="130">
        <f>SUM(C425:F425,L425:P425)</f>
        <v>6500</v>
      </c>
      <c r="C425" s="202"/>
      <c r="D425" s="202"/>
      <c r="E425" s="202"/>
      <c r="F425" s="202">
        <f t="shared" si="47"/>
        <v>0</v>
      </c>
      <c r="G425" s="133"/>
      <c r="H425" s="133"/>
      <c r="I425" s="133"/>
      <c r="J425" s="133"/>
      <c r="K425" s="133"/>
      <c r="L425" s="133"/>
      <c r="M425" s="133"/>
      <c r="N425" s="133"/>
      <c r="O425" s="133">
        <f>8000+O426</f>
        <v>6500</v>
      </c>
      <c r="P425" s="133"/>
    </row>
    <row r="426" spans="1:16" ht="30" customHeight="1">
      <c r="A426" s="251" t="s">
        <v>833</v>
      </c>
      <c r="B426" s="230">
        <f>SUM(C426:F426,L426:P426)</f>
        <v>-1500</v>
      </c>
      <c r="C426" s="202"/>
      <c r="D426" s="202"/>
      <c r="E426" s="202"/>
      <c r="F426" s="202"/>
      <c r="G426" s="133"/>
      <c r="H426" s="133"/>
      <c r="I426" s="133"/>
      <c r="J426" s="133"/>
      <c r="K426" s="133"/>
      <c r="L426" s="133"/>
      <c r="M426" s="133"/>
      <c r="N426" s="133"/>
      <c r="O426" s="133">
        <v>-1500</v>
      </c>
      <c r="P426" s="133"/>
    </row>
    <row r="427" spans="1:16" ht="36.75" customHeight="1">
      <c r="A427" s="131" t="s">
        <v>81</v>
      </c>
      <c r="B427" s="130">
        <f t="shared" si="48" ref="B427:B436">SUM(C427+F427,L427:P427)</f>
        <v>163180</v>
      </c>
      <c r="C427" s="202"/>
      <c r="D427" s="202"/>
      <c r="E427" s="202"/>
      <c r="F427" s="202">
        <f t="shared" si="47"/>
        <v>0</v>
      </c>
      <c r="G427" s="133"/>
      <c r="H427" s="133"/>
      <c r="I427" s="133"/>
      <c r="J427" s="133"/>
      <c r="K427" s="133"/>
      <c r="L427" s="133"/>
      <c r="M427" s="133"/>
      <c r="N427" s="133"/>
      <c r="O427" s="133"/>
      <c r="P427" s="133">
        <f>140000+P428</f>
        <v>163180</v>
      </c>
    </row>
    <row r="428" spans="1:16" ht="30" customHeight="1">
      <c r="A428" s="251" t="s">
        <v>833</v>
      </c>
      <c r="B428" s="230">
        <f t="shared" si="48"/>
        <v>23180</v>
      </c>
      <c r="C428" s="202"/>
      <c r="D428" s="202"/>
      <c r="E428" s="202"/>
      <c r="F428" s="202"/>
      <c r="G428" s="133"/>
      <c r="H428" s="133"/>
      <c r="I428" s="133"/>
      <c r="J428" s="133"/>
      <c r="K428" s="133"/>
      <c r="L428" s="133"/>
      <c r="M428" s="133"/>
      <c r="N428" s="133"/>
      <c r="O428" s="133"/>
      <c r="P428" s="133">
        <v>23180</v>
      </c>
    </row>
    <row r="429" spans="1:16" ht="35.25" customHeight="1">
      <c r="A429" s="131" t="s">
        <v>64</v>
      </c>
      <c r="B429" s="130">
        <f t="shared" si="48"/>
        <v>3561</v>
      </c>
      <c r="C429" s="202">
        <f>D429+E429</f>
        <v>371</v>
      </c>
      <c r="D429" s="202">
        <v>300</v>
      </c>
      <c r="E429" s="202">
        <v>71</v>
      </c>
      <c r="F429" s="202">
        <f t="shared" si="47"/>
        <v>2615</v>
      </c>
      <c r="G429" s="133"/>
      <c r="H429" s="133"/>
      <c r="I429" s="133">
        <f>3190+I430</f>
        <v>2615</v>
      </c>
      <c r="J429" s="133"/>
      <c r="K429" s="133"/>
      <c r="L429" s="133"/>
      <c r="M429" s="133"/>
      <c r="N429" s="133">
        <v>0</v>
      </c>
      <c r="O429" s="133"/>
      <c r="P429" s="133">
        <f>P430</f>
        <v>575</v>
      </c>
    </row>
    <row r="430" spans="1:16" ht="35.25" customHeight="1">
      <c r="A430" s="251" t="s">
        <v>833</v>
      </c>
      <c r="B430" s="230">
        <f t="shared" si="48"/>
        <v>0</v>
      </c>
      <c r="C430" s="202">
        <f>D430+E430</f>
        <v>0</v>
      </c>
      <c r="D430" s="202"/>
      <c r="E430" s="202"/>
      <c r="F430" s="202">
        <f t="shared" si="47"/>
        <v>-575</v>
      </c>
      <c r="G430" s="133"/>
      <c r="H430" s="133"/>
      <c r="I430" s="133">
        <v>-575</v>
      </c>
      <c r="J430" s="133"/>
      <c r="K430" s="133"/>
      <c r="L430" s="133"/>
      <c r="M430" s="133"/>
      <c r="N430" s="133"/>
      <c r="O430" s="133"/>
      <c r="P430" s="133">
        <v>575</v>
      </c>
    </row>
    <row r="431" spans="1:16" ht="36.75" customHeight="1">
      <c r="A431" s="131" t="s">
        <v>227</v>
      </c>
      <c r="B431" s="130">
        <f t="shared" si="48"/>
        <v>26568</v>
      </c>
      <c r="C431" s="202">
        <f>D431+E431</f>
        <v>22246</v>
      </c>
      <c r="D431" s="202">
        <v>18000</v>
      </c>
      <c r="E431" s="202">
        <v>4246</v>
      </c>
      <c r="F431" s="202">
        <f t="shared" si="47"/>
        <v>4322</v>
      </c>
      <c r="G431" s="133"/>
      <c r="H431" s="133"/>
      <c r="I431" s="133">
        <v>4322</v>
      </c>
      <c r="J431" s="133"/>
      <c r="K431" s="133"/>
      <c r="L431" s="133">
        <v>0</v>
      </c>
      <c r="M431" s="133"/>
      <c r="N431" s="133"/>
      <c r="O431" s="133"/>
      <c r="P431" s="133"/>
    </row>
    <row r="432" spans="1:16" ht="38.25" customHeight="1">
      <c r="A432" s="132" t="s">
        <v>164</v>
      </c>
      <c r="B432" s="130">
        <f t="shared" si="48"/>
        <v>58588</v>
      </c>
      <c r="C432" s="202">
        <f>D432+E432</f>
        <v>43280</v>
      </c>
      <c r="D432" s="202">
        <v>35000</v>
      </c>
      <c r="E432" s="202">
        <v>8280</v>
      </c>
      <c r="F432" s="202">
        <f t="shared" si="47"/>
        <v>12308</v>
      </c>
      <c r="G432" s="133"/>
      <c r="H432" s="133"/>
      <c r="I432" s="133">
        <v>12308</v>
      </c>
      <c r="J432" s="133"/>
      <c r="K432" s="133"/>
      <c r="L432" s="133"/>
      <c r="M432" s="133"/>
      <c r="N432" s="133">
        <v>3000</v>
      </c>
      <c r="O432" s="133"/>
      <c r="P432" s="133"/>
    </row>
    <row r="433" spans="1:16" ht="50.25" customHeight="1">
      <c r="A433" s="136" t="s">
        <v>770</v>
      </c>
      <c r="B433" s="130">
        <f t="shared" si="48"/>
        <v>26232</v>
      </c>
      <c r="C433" s="216">
        <f t="shared" si="49" ref="C433:C436">D433+E433</f>
        <v>0</v>
      </c>
      <c r="D433" s="214"/>
      <c r="E433" s="214"/>
      <c r="F433" s="216">
        <f t="shared" si="47"/>
        <v>26132</v>
      </c>
      <c r="G433" s="159">
        <f>17536+G434</f>
        <v>15136</v>
      </c>
      <c r="H433" s="159">
        <f>6152+H434</f>
        <v>10520</v>
      </c>
      <c r="I433" s="159">
        <f>2544+I434</f>
        <v>476</v>
      </c>
      <c r="J433" s="159"/>
      <c r="K433" s="159"/>
      <c r="L433" s="159"/>
      <c r="M433" s="159"/>
      <c r="N433" s="159">
        <f>N434</f>
        <v>100</v>
      </c>
      <c r="O433" s="159"/>
      <c r="P433" s="159"/>
    </row>
    <row r="434" spans="1:16" ht="28.5" customHeight="1">
      <c r="A434" s="252" t="s">
        <v>833</v>
      </c>
      <c r="B434" s="230">
        <f t="shared" si="48"/>
        <v>0</v>
      </c>
      <c r="C434" s="216">
        <f t="shared" si="49"/>
        <v>0</v>
      </c>
      <c r="D434" s="213"/>
      <c r="E434" s="213"/>
      <c r="F434" s="216">
        <f t="shared" si="47"/>
        <v>-100</v>
      </c>
      <c r="G434" s="157">
        <v>-2400</v>
      </c>
      <c r="H434" s="157">
        <v>4368</v>
      </c>
      <c r="I434" s="157">
        <v>-2068</v>
      </c>
      <c r="J434" s="157"/>
      <c r="K434" s="157"/>
      <c r="L434" s="157"/>
      <c r="M434" s="157"/>
      <c r="N434" s="157">
        <v>100</v>
      </c>
      <c r="O434" s="157"/>
      <c r="P434" s="157"/>
    </row>
    <row r="435" spans="1:16" ht="52.9" customHeight="1">
      <c r="A435" s="129" t="s">
        <v>259</v>
      </c>
      <c r="B435" s="130">
        <f t="shared" si="48"/>
        <v>8901</v>
      </c>
      <c r="C435" s="202">
        <f>D435+E435</f>
        <v>1500</v>
      </c>
      <c r="D435" s="202">
        <f>D436</f>
        <v>1214</v>
      </c>
      <c r="E435" s="202">
        <f>E436</f>
        <v>286</v>
      </c>
      <c r="F435" s="202">
        <f>SUM(G435:K435)</f>
        <v>7401</v>
      </c>
      <c r="G435" s="133"/>
      <c r="H435" s="133">
        <f>8901+H436</f>
        <v>4855</v>
      </c>
      <c r="I435" s="133">
        <f>I436</f>
        <v>2546</v>
      </c>
      <c r="J435" s="133"/>
      <c r="K435" s="133"/>
      <c r="L435" s="133"/>
      <c r="M435" s="133"/>
      <c r="N435" s="133"/>
      <c r="O435" s="133"/>
      <c r="P435" s="133"/>
    </row>
    <row r="436" spans="1:16" ht="25.5" customHeight="1">
      <c r="A436" s="251" t="s">
        <v>833</v>
      </c>
      <c r="B436" s="230">
        <f t="shared" si="48"/>
        <v>0</v>
      </c>
      <c r="C436" s="202">
        <f t="shared" si="49"/>
        <v>1500</v>
      </c>
      <c r="D436" s="202">
        <v>1214</v>
      </c>
      <c r="E436" s="202">
        <v>286</v>
      </c>
      <c r="F436" s="202">
        <f t="shared" si="47"/>
        <v>-1500</v>
      </c>
      <c r="G436" s="133"/>
      <c r="H436" s="133">
        <v>-4046</v>
      </c>
      <c r="I436" s="133">
        <v>2546</v>
      </c>
      <c r="J436" s="133"/>
      <c r="K436" s="133"/>
      <c r="L436" s="133"/>
      <c r="M436" s="133"/>
      <c r="N436" s="133"/>
      <c r="O436" s="133"/>
      <c r="P436" s="133"/>
    </row>
    <row r="437" spans="1:16" ht="54" customHeight="1">
      <c r="A437" s="129" t="s">
        <v>768</v>
      </c>
      <c r="B437" s="230">
        <f>SUM(C437:F437,L437:P437)</f>
        <v>3555</v>
      </c>
      <c r="C437" s="202"/>
      <c r="D437" s="202"/>
      <c r="E437" s="202"/>
      <c r="F437" s="202">
        <f t="shared" si="47"/>
        <v>3555</v>
      </c>
      <c r="G437" s="133"/>
      <c r="H437" s="133">
        <f>3555+H438</f>
        <v>2269</v>
      </c>
      <c r="I437" s="133">
        <f>I438</f>
        <v>1286</v>
      </c>
      <c r="J437" s="133"/>
      <c r="K437" s="133"/>
      <c r="L437" s="133"/>
      <c r="M437" s="133"/>
      <c r="N437" s="133"/>
      <c r="O437" s="133"/>
      <c r="P437" s="133"/>
    </row>
    <row r="438" spans="1:16" ht="23.25" customHeight="1">
      <c r="A438" s="250" t="s">
        <v>833</v>
      </c>
      <c r="B438" s="230">
        <f>SUM(C438:F438,L438:P438)</f>
        <v>0</v>
      </c>
      <c r="C438" s="202"/>
      <c r="D438" s="202"/>
      <c r="E438" s="202"/>
      <c r="F438" s="202">
        <f t="shared" si="47"/>
        <v>0</v>
      </c>
      <c r="G438" s="133"/>
      <c r="H438" s="133">
        <v>-1286</v>
      </c>
      <c r="I438" s="133">
        <v>1286</v>
      </c>
      <c r="J438" s="133"/>
      <c r="K438" s="133"/>
      <c r="L438" s="133"/>
      <c r="M438" s="133"/>
      <c r="N438" s="133"/>
      <c r="O438" s="133"/>
      <c r="P438" s="133"/>
    </row>
    <row r="439" spans="1:17" ht="19.5" customHeight="1">
      <c r="A439" s="129" t="s">
        <v>252</v>
      </c>
      <c r="B439" s="130">
        <f t="shared" si="50" ref="B439:B446">SUM(C439+F439,L439:P439)</f>
        <v>37317</v>
      </c>
      <c r="C439" s="202"/>
      <c r="D439" s="202"/>
      <c r="E439" s="202"/>
      <c r="F439" s="202">
        <f t="shared" si="47"/>
        <v>0</v>
      </c>
      <c r="G439" s="133"/>
      <c r="H439" s="133"/>
      <c r="I439" s="133"/>
      <c r="J439" s="133"/>
      <c r="K439" s="133"/>
      <c r="L439" s="133"/>
      <c r="M439" s="133"/>
      <c r="N439" s="133">
        <v>37317</v>
      </c>
      <c r="O439" s="133"/>
      <c r="P439" s="133"/>
      <c r="Q439" s="81"/>
    </row>
    <row r="440" spans="1:16" ht="19.5" customHeight="1">
      <c r="A440" s="129" t="s">
        <v>865</v>
      </c>
      <c r="B440" s="130">
        <f t="shared" si="50"/>
        <v>300</v>
      </c>
      <c r="C440" s="202"/>
      <c r="D440" s="202"/>
      <c r="E440" s="202"/>
      <c r="F440" s="202">
        <f t="shared" si="47"/>
        <v>0</v>
      </c>
      <c r="G440" s="133"/>
      <c r="H440" s="133"/>
      <c r="I440" s="133"/>
      <c r="J440" s="133"/>
      <c r="K440" s="133"/>
      <c r="L440" s="133">
        <v>300</v>
      </c>
      <c r="M440" s="133"/>
      <c r="N440" s="133"/>
      <c r="O440" s="133"/>
      <c r="P440" s="133"/>
    </row>
    <row r="441" spans="1:17" ht="39.75" customHeight="1">
      <c r="A441" s="129" t="s">
        <v>250</v>
      </c>
      <c r="B441" s="130">
        <f>SUM(C441+F441,L441:P441)</f>
        <v>96710</v>
      </c>
      <c r="C441" s="202"/>
      <c r="D441" s="202"/>
      <c r="E441" s="202"/>
      <c r="F441" s="202">
        <f t="shared" si="47"/>
        <v>0</v>
      </c>
      <c r="G441" s="133"/>
      <c r="H441" s="133"/>
      <c r="I441" s="133"/>
      <c r="J441" s="133"/>
      <c r="K441" s="133"/>
      <c r="L441" s="133"/>
      <c r="M441" s="133"/>
      <c r="N441" s="133">
        <f>96710+N442</f>
        <v>61652</v>
      </c>
      <c r="O441" s="133"/>
      <c r="P441" s="133">
        <f>P442</f>
        <v>35058</v>
      </c>
      <c r="Q441" s="81"/>
    </row>
    <row r="442" spans="1:17" ht="21.75" customHeight="1">
      <c r="A442" s="250" t="s">
        <v>833</v>
      </c>
      <c r="B442" s="230">
        <f>SUM(C442+F442,L442:P442)</f>
        <v>0</v>
      </c>
      <c r="C442" s="202"/>
      <c r="D442" s="202"/>
      <c r="E442" s="202"/>
      <c r="F442" s="202"/>
      <c r="G442" s="133"/>
      <c r="H442" s="133"/>
      <c r="I442" s="133"/>
      <c r="J442" s="133"/>
      <c r="K442" s="133"/>
      <c r="L442" s="133"/>
      <c r="M442" s="133"/>
      <c r="N442" s="133">
        <v>-35058</v>
      </c>
      <c r="O442" s="133"/>
      <c r="P442" s="133">
        <v>35058</v>
      </c>
      <c r="Q442" s="81"/>
    </row>
    <row r="443" spans="1:16" ht="18" customHeight="1">
      <c r="A443" s="132" t="s">
        <v>54</v>
      </c>
      <c r="B443" s="130">
        <f t="shared" si="50"/>
        <v>248725</v>
      </c>
      <c r="C443" s="202">
        <f>D443+E443</f>
        <v>229855</v>
      </c>
      <c r="D443" s="202">
        <f>156371+D444</f>
        <v>180159</v>
      </c>
      <c r="E443" s="202">
        <f>39604+E444</f>
        <v>49696</v>
      </c>
      <c r="F443" s="202">
        <f t="shared" si="47"/>
        <v>18870</v>
      </c>
      <c r="G443" s="133">
        <v>350</v>
      </c>
      <c r="H443" s="133">
        <f>12440+H444</f>
        <v>10440</v>
      </c>
      <c r="I443" s="133">
        <f>9080+I444</f>
        <v>8080</v>
      </c>
      <c r="J443" s="133"/>
      <c r="K443" s="133"/>
      <c r="L443" s="133"/>
      <c r="M443" s="133"/>
      <c r="N443" s="133"/>
      <c r="O443" s="133"/>
      <c r="P443" s="133"/>
    </row>
    <row r="444" spans="1:16" ht="19.5" customHeight="1">
      <c r="A444" s="251" t="s">
        <v>833</v>
      </c>
      <c r="B444" s="230">
        <f t="shared" si="50"/>
        <v>30880</v>
      </c>
      <c r="C444" s="202">
        <f>D444+E444</f>
        <v>33880</v>
      </c>
      <c r="D444" s="202">
        <v>23788</v>
      </c>
      <c r="E444" s="202">
        <v>10092</v>
      </c>
      <c r="F444" s="202">
        <f t="shared" si="47"/>
        <v>-3000</v>
      </c>
      <c r="G444" s="133"/>
      <c r="H444" s="133">
        <v>-2000</v>
      </c>
      <c r="I444" s="133">
        <v>-1000</v>
      </c>
      <c r="J444" s="133"/>
      <c r="K444" s="133"/>
      <c r="L444" s="133"/>
      <c r="M444" s="133"/>
      <c r="N444" s="133"/>
      <c r="O444" s="133"/>
      <c r="P444" s="133"/>
    </row>
    <row r="445" spans="1:16" ht="17.25" customHeight="1">
      <c r="A445" s="134" t="s">
        <v>185</v>
      </c>
      <c r="B445" s="130">
        <f t="shared" si="50"/>
        <v>623737</v>
      </c>
      <c r="C445" s="202">
        <f>D445+E445</f>
        <v>548793</v>
      </c>
      <c r="D445" s="202">
        <v>436806</v>
      </c>
      <c r="E445" s="202">
        <v>111987</v>
      </c>
      <c r="F445" s="202">
        <f t="shared" si="47"/>
        <v>74733</v>
      </c>
      <c r="G445" s="133">
        <v>1200</v>
      </c>
      <c r="H445" s="133">
        <f>45403+H446</f>
        <v>45383</v>
      </c>
      <c r="I445" s="133">
        <f>27841+I446</f>
        <v>27487</v>
      </c>
      <c r="J445" s="133"/>
      <c r="K445" s="133">
        <f>500+K446</f>
        <v>663</v>
      </c>
      <c r="L445" s="133"/>
      <c r="M445" s="133"/>
      <c r="N445" s="133">
        <f>N446</f>
        <v>211</v>
      </c>
      <c r="O445" s="133"/>
      <c r="P445" s="133"/>
    </row>
    <row r="446" spans="1:16" ht="17.25" customHeight="1">
      <c r="A446" s="251" t="s">
        <v>833</v>
      </c>
      <c r="B446" s="230">
        <f t="shared" si="50"/>
        <v>0</v>
      </c>
      <c r="C446" s="202"/>
      <c r="D446" s="202"/>
      <c r="E446" s="202"/>
      <c r="F446" s="202">
        <f t="shared" si="47"/>
        <v>-211</v>
      </c>
      <c r="G446" s="133"/>
      <c r="H446" s="133">
        <v>-20</v>
      </c>
      <c r="I446" s="133">
        <v>-354</v>
      </c>
      <c r="J446" s="133"/>
      <c r="K446" s="133">
        <v>163</v>
      </c>
      <c r="L446" s="133"/>
      <c r="M446" s="133"/>
      <c r="N446" s="133">
        <v>211</v>
      </c>
      <c r="O446" s="133"/>
      <c r="P446" s="133"/>
    </row>
    <row r="447" spans="1:16" ht="20.25" customHeight="1">
      <c r="A447" s="134" t="s">
        <v>238</v>
      </c>
      <c r="B447" s="130">
        <f>SUM(C447+F447,L447:P447)</f>
        <v>1190000</v>
      </c>
      <c r="C447" s="202"/>
      <c r="D447" s="202"/>
      <c r="E447" s="202"/>
      <c r="F447" s="202">
        <f t="shared" si="47"/>
        <v>0</v>
      </c>
      <c r="G447" s="133"/>
      <c r="H447" s="133"/>
      <c r="I447" s="133"/>
      <c r="J447" s="133"/>
      <c r="K447" s="133"/>
      <c r="L447" s="133"/>
      <c r="M447" s="133"/>
      <c r="N447" s="133"/>
      <c r="O447" s="133">
        <f>1084000+106000</f>
        <v>1190000</v>
      </c>
      <c r="P447" s="133"/>
    </row>
    <row r="448" spans="1:16" ht="21" customHeight="1">
      <c r="A448" s="134" t="s">
        <v>181</v>
      </c>
      <c r="B448" s="130">
        <f>SUM(C448:F448,L448:P448)</f>
        <v>21500</v>
      </c>
      <c r="C448" s="202"/>
      <c r="D448" s="202"/>
      <c r="E448" s="202"/>
      <c r="F448" s="202">
        <f t="shared" si="47"/>
        <v>0</v>
      </c>
      <c r="G448" s="133"/>
      <c r="H448" s="133"/>
      <c r="I448" s="133"/>
      <c r="J448" s="133"/>
      <c r="K448" s="133"/>
      <c r="L448" s="133"/>
      <c r="M448" s="133"/>
      <c r="N448" s="133"/>
      <c r="O448" s="133">
        <f>19690+O449</f>
        <v>21500</v>
      </c>
      <c r="P448" s="133"/>
    </row>
    <row r="449" spans="1:16" ht="17.25" customHeight="1">
      <c r="A449" s="251" t="s">
        <v>833</v>
      </c>
      <c r="B449" s="230">
        <f>SUM(C449:F449,L449:P449)</f>
        <v>1810</v>
      </c>
      <c r="C449" s="202"/>
      <c r="D449" s="202"/>
      <c r="E449" s="202"/>
      <c r="F449" s="202"/>
      <c r="G449" s="133"/>
      <c r="H449" s="133"/>
      <c r="I449" s="133"/>
      <c r="J449" s="133"/>
      <c r="K449" s="133"/>
      <c r="L449" s="133"/>
      <c r="M449" s="133"/>
      <c r="N449" s="133"/>
      <c r="O449" s="133">
        <v>1810</v>
      </c>
      <c r="P449" s="133"/>
    </row>
    <row r="450" spans="1:16" ht="24.75" customHeight="1">
      <c r="A450" s="134" t="s">
        <v>55</v>
      </c>
      <c r="B450" s="130">
        <f t="shared" si="51" ref="B450:B493">SUM(C450+F450,L450:P450)</f>
        <v>22137</v>
      </c>
      <c r="C450" s="202"/>
      <c r="D450" s="202"/>
      <c r="E450" s="202"/>
      <c r="F450" s="202">
        <f t="shared" si="47"/>
        <v>22137</v>
      </c>
      <c r="G450" s="133"/>
      <c r="H450" s="133">
        <f>19517+H451</f>
        <v>19117</v>
      </c>
      <c r="I450" s="133">
        <f>2620+I451</f>
        <v>3020</v>
      </c>
      <c r="J450" s="133"/>
      <c r="K450" s="133"/>
      <c r="L450" s="133"/>
      <c r="M450" s="133"/>
      <c r="N450" s="133"/>
      <c r="O450" s="133"/>
      <c r="P450" s="133"/>
    </row>
    <row r="451" spans="1:16" ht="17.25" customHeight="1">
      <c r="A451" s="251" t="s">
        <v>833</v>
      </c>
      <c r="B451" s="130">
        <f t="shared" si="51"/>
        <v>0</v>
      </c>
      <c r="C451" s="202"/>
      <c r="D451" s="202"/>
      <c r="E451" s="202"/>
      <c r="F451" s="202">
        <f t="shared" si="47"/>
        <v>0</v>
      </c>
      <c r="G451" s="133"/>
      <c r="H451" s="133">
        <v>-400</v>
      </c>
      <c r="I451" s="133">
        <v>400</v>
      </c>
      <c r="J451" s="133"/>
      <c r="K451" s="133"/>
      <c r="L451" s="133"/>
      <c r="M451" s="133"/>
      <c r="N451" s="133"/>
      <c r="O451" s="133"/>
      <c r="P451" s="133"/>
    </row>
    <row r="452" spans="1:16" ht="24.75" customHeight="1">
      <c r="A452" s="134" t="s">
        <v>66</v>
      </c>
      <c r="B452" s="130">
        <f t="shared" si="51"/>
        <v>270172</v>
      </c>
      <c r="C452" s="202">
        <f>D452+E452</f>
        <v>119620</v>
      </c>
      <c r="D452" s="202">
        <v>110627</v>
      </c>
      <c r="E452" s="202">
        <v>8993</v>
      </c>
      <c r="F452" s="202">
        <f t="shared" si="47"/>
        <v>40583</v>
      </c>
      <c r="G452" s="133"/>
      <c r="H452" s="133">
        <f>27443+H453</f>
        <v>39143</v>
      </c>
      <c r="I452" s="133">
        <v>1440</v>
      </c>
      <c r="J452" s="133"/>
      <c r="K452" s="133"/>
      <c r="L452" s="133"/>
      <c r="M452" s="133"/>
      <c r="N452" s="133">
        <v>3505</v>
      </c>
      <c r="O452" s="133">
        <f>118164+O453</f>
        <v>106464</v>
      </c>
      <c r="P452" s="133"/>
    </row>
    <row r="453" spans="1:16" ht="19.5" customHeight="1">
      <c r="A453" s="251" t="s">
        <v>833</v>
      </c>
      <c r="B453" s="130">
        <f t="shared" si="51"/>
        <v>0</v>
      </c>
      <c r="C453" s="202"/>
      <c r="D453" s="202"/>
      <c r="E453" s="202"/>
      <c r="F453" s="202">
        <f t="shared" si="47"/>
        <v>11700</v>
      </c>
      <c r="G453" s="133"/>
      <c r="H453" s="133">
        <v>11700</v>
      </c>
      <c r="I453" s="133"/>
      <c r="J453" s="133"/>
      <c r="K453" s="133"/>
      <c r="L453" s="133"/>
      <c r="M453" s="133"/>
      <c r="N453" s="133"/>
      <c r="O453" s="133">
        <v>-11700</v>
      </c>
      <c r="P453" s="133"/>
    </row>
    <row r="454" spans="1:16" ht="21" customHeight="1">
      <c r="A454" s="134" t="s">
        <v>53</v>
      </c>
      <c r="B454" s="130">
        <f>SUM(C454+F454,L454:P454)</f>
        <v>1846824</v>
      </c>
      <c r="C454" s="202">
        <f t="shared" si="52" ref="C454:C466">D454+E454</f>
        <v>1079885</v>
      </c>
      <c r="D454" s="202">
        <v>861217</v>
      </c>
      <c r="E454" s="202">
        <v>218668</v>
      </c>
      <c r="F454" s="202">
        <f t="shared" si="47"/>
        <v>744879</v>
      </c>
      <c r="G454" s="133">
        <v>500</v>
      </c>
      <c r="H454" s="133">
        <v>110365</v>
      </c>
      <c r="I454" s="133">
        <v>631334</v>
      </c>
      <c r="J454" s="133">
        <v>680</v>
      </c>
      <c r="K454" s="133">
        <v>2000</v>
      </c>
      <c r="L454" s="133"/>
      <c r="M454" s="133"/>
      <c r="N454" s="133">
        <f>3000+16860</f>
        <v>19860</v>
      </c>
      <c r="O454" s="133">
        <v>2200</v>
      </c>
      <c r="P454" s="133"/>
    </row>
    <row r="455" spans="1:16" ht="22.5" customHeight="1">
      <c r="A455" s="134" t="s">
        <v>128</v>
      </c>
      <c r="B455" s="130">
        <f t="shared" si="51"/>
        <v>371873</v>
      </c>
      <c r="C455" s="202">
        <f t="shared" si="52"/>
        <v>247759</v>
      </c>
      <c r="D455" s="202">
        <f>196250+D456</f>
        <v>194759</v>
      </c>
      <c r="E455" s="202">
        <f>35513+E456</f>
        <v>53000</v>
      </c>
      <c r="F455" s="202">
        <f t="shared" si="47"/>
        <v>118951</v>
      </c>
      <c r="G455" s="133">
        <v>342</v>
      </c>
      <c r="H455" s="133">
        <f>18936+H456</f>
        <v>18955</v>
      </c>
      <c r="I455" s="133">
        <f>88868+(-5163)+I456</f>
        <v>99454</v>
      </c>
      <c r="J455" s="133">
        <v>0</v>
      </c>
      <c r="K455" s="133">
        <v>200</v>
      </c>
      <c r="L455" s="133"/>
      <c r="M455" s="133"/>
      <c r="N455" s="133">
        <v>5163</v>
      </c>
      <c r="O455" s="133"/>
      <c r="P455" s="133"/>
    </row>
    <row r="456" spans="1:16" ht="25.5" customHeight="1">
      <c r="A456" s="251" t="s">
        <v>833</v>
      </c>
      <c r="B456" s="130">
        <f t="shared" si="51"/>
        <v>31764</v>
      </c>
      <c r="C456" s="202">
        <f t="shared" si="52"/>
        <v>15996</v>
      </c>
      <c r="D456" s="202">
        <v>-1491</v>
      </c>
      <c r="E456" s="202">
        <v>17487</v>
      </c>
      <c r="F456" s="202">
        <f t="shared" si="47"/>
        <v>15768</v>
      </c>
      <c r="G456" s="133"/>
      <c r="H456" s="133">
        <v>19</v>
      </c>
      <c r="I456" s="133">
        <v>15749</v>
      </c>
      <c r="J456" s="133"/>
      <c r="K456" s="133"/>
      <c r="L456" s="133"/>
      <c r="M456" s="133"/>
      <c r="N456" s="133"/>
      <c r="O456" s="133"/>
      <c r="P456" s="133"/>
    </row>
    <row r="457" spans="1:16" ht="25.5" customHeight="1">
      <c r="A457" s="131" t="s">
        <v>130</v>
      </c>
      <c r="B457" s="130">
        <f t="shared" si="51"/>
        <v>218380</v>
      </c>
      <c r="C457" s="202">
        <f t="shared" si="52"/>
        <v>148772</v>
      </c>
      <c r="D457" s="202">
        <f>116902</f>
        <v>116902</v>
      </c>
      <c r="E457" s="202">
        <v>31870</v>
      </c>
      <c r="F457" s="202">
        <f t="shared" si="47"/>
        <v>68966</v>
      </c>
      <c r="G457" s="133">
        <f>60-13</f>
        <v>47</v>
      </c>
      <c r="H457" s="133">
        <f>20076-987+H458</f>
        <v>19731</v>
      </c>
      <c r="I457" s="133">
        <f>47330+1000+I458</f>
        <v>49188</v>
      </c>
      <c r="J457" s="133"/>
      <c r="K457" s="133"/>
      <c r="L457" s="133"/>
      <c r="M457" s="133"/>
      <c r="N457" s="133"/>
      <c r="O457" s="133">
        <f>2142+O458</f>
        <v>642</v>
      </c>
      <c r="P457" s="133"/>
    </row>
    <row r="458" spans="1:16" ht="19.5" customHeight="1">
      <c r="A458" s="250" t="s">
        <v>833</v>
      </c>
      <c r="B458" s="130">
        <f t="shared" si="51"/>
        <v>0</v>
      </c>
      <c r="C458" s="202"/>
      <c r="D458" s="202"/>
      <c r="E458" s="202"/>
      <c r="F458" s="202">
        <f t="shared" si="47"/>
        <v>1500</v>
      </c>
      <c r="G458" s="133"/>
      <c r="H458" s="133">
        <v>642</v>
      </c>
      <c r="I458" s="133">
        <v>858</v>
      </c>
      <c r="J458" s="133"/>
      <c r="K458" s="133"/>
      <c r="L458" s="133"/>
      <c r="M458" s="133"/>
      <c r="N458" s="133"/>
      <c r="O458" s="133">
        <v>-1500</v>
      </c>
      <c r="P458" s="133"/>
    </row>
    <row r="459" spans="1:16" ht="24.75" customHeight="1">
      <c r="A459" s="131" t="s">
        <v>129</v>
      </c>
      <c r="B459" s="130">
        <f>SUM(C459+F459,L459:P459)</f>
        <v>319160</v>
      </c>
      <c r="C459" s="202">
        <f>D459+E459</f>
        <v>218750</v>
      </c>
      <c r="D459" s="202">
        <f>176675</f>
        <v>176675</v>
      </c>
      <c r="E459" s="202">
        <v>42075</v>
      </c>
      <c r="F459" s="202">
        <f>SUM(G459:K459)</f>
        <v>98411</v>
      </c>
      <c r="G459" s="133">
        <v>60</v>
      </c>
      <c r="H459" s="133">
        <f>21173+670+H460</f>
        <v>23224</v>
      </c>
      <c r="I459" s="133">
        <f>62364+I460</f>
        <v>74880</v>
      </c>
      <c r="J459" s="133"/>
      <c r="K459" s="133">
        <f>226+21</f>
        <v>247</v>
      </c>
      <c r="L459" s="133"/>
      <c r="M459" s="133"/>
      <c r="N459" s="133">
        <v>1999</v>
      </c>
      <c r="O459" s="133">
        <f>2690+(-2690)</f>
        <v>0</v>
      </c>
      <c r="P459" s="133"/>
    </row>
    <row r="460" spans="1:16" ht="24.75" customHeight="1">
      <c r="A460" s="250" t="s">
        <v>833</v>
      </c>
      <c r="B460" s="130">
        <f>SUM(C460+F460,L460:P460)</f>
        <v>13897</v>
      </c>
      <c r="C460" s="202"/>
      <c r="D460" s="202"/>
      <c r="E460" s="202"/>
      <c r="F460" s="202">
        <f>SUM(G460:K460)</f>
        <v>13897</v>
      </c>
      <c r="G460" s="133"/>
      <c r="H460" s="133">
        <f>-485+1866</f>
        <v>1381</v>
      </c>
      <c r="I460" s="133">
        <f>485+12031</f>
        <v>12516</v>
      </c>
      <c r="J460" s="133"/>
      <c r="K460" s="133"/>
      <c r="L460" s="133"/>
      <c r="M460" s="133"/>
      <c r="N460" s="133"/>
      <c r="O460" s="133"/>
      <c r="P460" s="133"/>
    </row>
    <row r="461" spans="1:16" ht="30" customHeight="1">
      <c r="A461" s="129" t="s">
        <v>84</v>
      </c>
      <c r="B461" s="130">
        <f t="shared" si="51"/>
        <v>257427</v>
      </c>
      <c r="C461" s="202">
        <f t="shared" si="52"/>
        <v>205391</v>
      </c>
      <c r="D461" s="202">
        <v>165726</v>
      </c>
      <c r="E461" s="202">
        <v>39665</v>
      </c>
      <c r="F461" s="202">
        <f t="shared" si="47"/>
        <v>52036</v>
      </c>
      <c r="G461" s="133">
        <v>476</v>
      </c>
      <c r="H461" s="133">
        <f>40827+H462</f>
        <v>40462</v>
      </c>
      <c r="I461" s="133">
        <f>10733+I462</f>
        <v>11050</v>
      </c>
      <c r="J461" s="133"/>
      <c r="K461" s="133">
        <f>K462</f>
        <v>48</v>
      </c>
      <c r="L461" s="133"/>
      <c r="M461" s="133"/>
      <c r="N461" s="133"/>
      <c r="O461" s="133"/>
      <c r="P461" s="133"/>
    </row>
    <row r="462" spans="1:16" ht="30" customHeight="1">
      <c r="A462" s="274" t="s">
        <v>833</v>
      </c>
      <c r="B462" s="130">
        <f t="shared" si="51"/>
        <v>0</v>
      </c>
      <c r="C462" s="202"/>
      <c r="D462" s="202"/>
      <c r="E462" s="202"/>
      <c r="F462" s="202">
        <f t="shared" si="47"/>
        <v>0</v>
      </c>
      <c r="G462" s="133"/>
      <c r="H462" s="133">
        <v>-365</v>
      </c>
      <c r="I462" s="133">
        <v>317</v>
      </c>
      <c r="J462" s="133"/>
      <c r="K462" s="133">
        <v>48</v>
      </c>
      <c r="L462" s="133"/>
      <c r="M462" s="133"/>
      <c r="N462" s="133"/>
      <c r="O462" s="133"/>
      <c r="P462" s="133"/>
    </row>
    <row r="463" spans="1:16" ht="30" customHeight="1">
      <c r="A463" s="136" t="s">
        <v>186</v>
      </c>
      <c r="B463" s="275">
        <f t="shared" si="51"/>
        <v>77411</v>
      </c>
      <c r="C463" s="213">
        <f t="shared" si="52"/>
        <v>68396</v>
      </c>
      <c r="D463" s="276">
        <f>51752+D464</f>
        <v>52999</v>
      </c>
      <c r="E463" s="276">
        <f>13114+E464</f>
        <v>15397</v>
      </c>
      <c r="F463" s="259">
        <f t="shared" si="47"/>
        <v>9015</v>
      </c>
      <c r="G463" s="158">
        <v>100</v>
      </c>
      <c r="H463" s="158">
        <f>2543+H464</f>
        <v>2556</v>
      </c>
      <c r="I463" s="158">
        <f>6372+I464</f>
        <v>6359</v>
      </c>
      <c r="J463" s="158"/>
      <c r="K463" s="158"/>
      <c r="L463" s="158"/>
      <c r="M463" s="158"/>
      <c r="N463" s="158"/>
      <c r="O463" s="158"/>
      <c r="P463" s="158"/>
    </row>
    <row r="464" spans="1:16" ht="30" customHeight="1">
      <c r="A464" s="253" t="s">
        <v>833</v>
      </c>
      <c r="B464" s="230">
        <f t="shared" si="51"/>
        <v>3530</v>
      </c>
      <c r="C464" s="221">
        <f t="shared" si="52"/>
        <v>3530</v>
      </c>
      <c r="D464" s="213">
        <v>1247</v>
      </c>
      <c r="E464" s="213">
        <v>2283</v>
      </c>
      <c r="F464" s="202">
        <f t="shared" si="47"/>
        <v>0</v>
      </c>
      <c r="G464" s="157"/>
      <c r="H464" s="157">
        <v>13</v>
      </c>
      <c r="I464" s="157">
        <v>-13</v>
      </c>
      <c r="J464" s="157"/>
      <c r="K464" s="157"/>
      <c r="L464" s="157"/>
      <c r="M464" s="157"/>
      <c r="N464" s="157"/>
      <c r="O464" s="157"/>
      <c r="P464" s="157"/>
    </row>
    <row r="465" spans="1:16" ht="30" customHeight="1">
      <c r="A465" s="134" t="s">
        <v>187</v>
      </c>
      <c r="B465" s="130">
        <f t="shared" si="51"/>
        <v>132024</v>
      </c>
      <c r="C465" s="202">
        <f t="shared" si="52"/>
        <v>113836</v>
      </c>
      <c r="D465" s="202">
        <v>90064</v>
      </c>
      <c r="E465" s="202">
        <f>21427+E466</f>
        <v>23772</v>
      </c>
      <c r="F465" s="202">
        <f t="shared" si="47"/>
        <v>18188</v>
      </c>
      <c r="G465" s="133"/>
      <c r="H465" s="133">
        <f>6499</f>
        <v>6499</v>
      </c>
      <c r="I465" s="133">
        <v>11689</v>
      </c>
      <c r="J465" s="133"/>
      <c r="K465" s="133"/>
      <c r="L465" s="133"/>
      <c r="M465" s="133"/>
      <c r="N465" s="133"/>
      <c r="O465" s="133">
        <f>5250+O466</f>
        <v>0</v>
      </c>
      <c r="P465" s="133"/>
    </row>
    <row r="466" spans="1:16" ht="30" customHeight="1">
      <c r="A466" s="252" t="s">
        <v>833</v>
      </c>
      <c r="B466" s="230">
        <f t="shared" si="51"/>
        <v>-2905</v>
      </c>
      <c r="C466" s="202">
        <f t="shared" si="52"/>
        <v>2345</v>
      </c>
      <c r="D466" s="202"/>
      <c r="E466" s="202">
        <v>2345</v>
      </c>
      <c r="F466" s="202">
        <f t="shared" si="47"/>
        <v>0</v>
      </c>
      <c r="G466" s="133"/>
      <c r="H466" s="133"/>
      <c r="I466" s="133"/>
      <c r="J466" s="133"/>
      <c r="K466" s="133"/>
      <c r="L466" s="133"/>
      <c r="M466" s="133"/>
      <c r="N466" s="133"/>
      <c r="O466" s="133">
        <v>-5250</v>
      </c>
      <c r="P466" s="133"/>
    </row>
    <row r="467" spans="1:16" ht="30" customHeight="1">
      <c r="A467" s="137" t="s">
        <v>171</v>
      </c>
      <c r="B467" s="231">
        <f t="shared" si="51"/>
        <v>4871</v>
      </c>
      <c r="C467" s="220">
        <f>D467+E467</f>
        <v>4326</v>
      </c>
      <c r="D467" s="213">
        <v>3500</v>
      </c>
      <c r="E467" s="213">
        <v>826</v>
      </c>
      <c r="F467" s="202">
        <f t="shared" si="47"/>
        <v>545</v>
      </c>
      <c r="G467" s="158"/>
      <c r="H467" s="158">
        <f>580+H468</f>
        <v>350</v>
      </c>
      <c r="I467" s="158">
        <f>295+I468</f>
        <v>195</v>
      </c>
      <c r="J467" s="158"/>
      <c r="K467" s="158"/>
      <c r="L467" s="158"/>
      <c r="M467" s="158"/>
      <c r="N467" s="158"/>
      <c r="O467" s="158"/>
      <c r="P467" s="158"/>
    </row>
    <row r="468" spans="1:16" ht="30" customHeight="1">
      <c r="A468" s="260" t="s">
        <v>833</v>
      </c>
      <c r="B468" s="231">
        <f t="shared" si="51"/>
        <v>-330</v>
      </c>
      <c r="C468" s="213"/>
      <c r="D468" s="213"/>
      <c r="E468" s="215"/>
      <c r="F468" s="202">
        <f t="shared" si="47"/>
        <v>-330</v>
      </c>
      <c r="G468" s="157"/>
      <c r="H468" s="157">
        <v>-230</v>
      </c>
      <c r="I468" s="157">
        <v>-100</v>
      </c>
      <c r="J468" s="157"/>
      <c r="K468" s="157"/>
      <c r="L468" s="157"/>
      <c r="M468" s="157"/>
      <c r="N468" s="157"/>
      <c r="O468" s="157"/>
      <c r="P468" s="157"/>
    </row>
    <row r="469" spans="1:16" ht="30" customHeight="1">
      <c r="A469" s="138" t="s">
        <v>687</v>
      </c>
      <c r="B469" s="130">
        <f t="shared" si="51"/>
        <v>500</v>
      </c>
      <c r="C469" s="213"/>
      <c r="D469" s="213"/>
      <c r="E469" s="213"/>
      <c r="F469" s="202">
        <f t="shared" si="47"/>
        <v>500</v>
      </c>
      <c r="G469" s="157"/>
      <c r="H469" s="157">
        <v>200</v>
      </c>
      <c r="I469" s="157">
        <v>300</v>
      </c>
      <c r="J469" s="157"/>
      <c r="K469" s="157"/>
      <c r="L469" s="157"/>
      <c r="M469" s="157"/>
      <c r="N469" s="157"/>
      <c r="O469" s="157"/>
      <c r="P469" s="157"/>
    </row>
    <row r="470" spans="1:16" ht="30" customHeight="1">
      <c r="A470" s="134" t="s">
        <v>56</v>
      </c>
      <c r="B470" s="130">
        <f t="shared" si="51"/>
        <v>632852</v>
      </c>
      <c r="C470" s="202">
        <f>D470+E470</f>
        <v>585311</v>
      </c>
      <c r="D470" s="202">
        <v>473612</v>
      </c>
      <c r="E470" s="202">
        <v>111699</v>
      </c>
      <c r="F470" s="202">
        <f t="shared" si="53" ref="F470:F487">SUM(G470:K470)</f>
        <v>41541</v>
      </c>
      <c r="G470" s="133">
        <v>0</v>
      </c>
      <c r="H470" s="133">
        <v>23302</v>
      </c>
      <c r="I470" s="133">
        <v>18239</v>
      </c>
      <c r="J470" s="133"/>
      <c r="K470" s="133"/>
      <c r="L470" s="133"/>
      <c r="M470" s="133"/>
      <c r="N470" s="133">
        <v>6000</v>
      </c>
      <c r="O470" s="133"/>
      <c r="P470" s="133"/>
    </row>
    <row r="471" spans="1:16" ht="34.5" customHeight="1">
      <c r="A471" s="129" t="s">
        <v>62</v>
      </c>
      <c r="B471" s="130">
        <f t="shared" si="51"/>
        <v>42383</v>
      </c>
      <c r="C471" s="202">
        <f>D471+E471</f>
        <v>0</v>
      </c>
      <c r="D471" s="202"/>
      <c r="E471" s="202"/>
      <c r="F471" s="202">
        <f t="shared" si="53"/>
        <v>0</v>
      </c>
      <c r="G471" s="133"/>
      <c r="H471" s="133"/>
      <c r="I471" s="133">
        <v>0</v>
      </c>
      <c r="J471" s="133"/>
      <c r="K471" s="133"/>
      <c r="L471" s="133"/>
      <c r="M471" s="133"/>
      <c r="N471" s="133">
        <v>42383</v>
      </c>
      <c r="O471" s="133">
        <v>0</v>
      </c>
      <c r="P471" s="133"/>
    </row>
    <row r="472" spans="1:16" ht="32.25" customHeight="1">
      <c r="A472" s="134" t="s">
        <v>61</v>
      </c>
      <c r="B472" s="130">
        <f t="shared" si="51"/>
        <v>23100</v>
      </c>
      <c r="C472" s="202">
        <f>D472+E472</f>
        <v>0</v>
      </c>
      <c r="D472" s="202"/>
      <c r="E472" s="202"/>
      <c r="F472" s="202">
        <f t="shared" si="53"/>
        <v>23100</v>
      </c>
      <c r="G472" s="133">
        <v>0</v>
      </c>
      <c r="H472" s="133">
        <v>23100</v>
      </c>
      <c r="I472" s="133"/>
      <c r="J472" s="133"/>
      <c r="K472" s="133"/>
      <c r="L472" s="133"/>
      <c r="M472" s="133"/>
      <c r="N472" s="133">
        <v>0</v>
      </c>
      <c r="O472" s="133"/>
      <c r="P472" s="133"/>
    </row>
    <row r="473" spans="1:16" ht="38.25" customHeight="1">
      <c r="A473" s="129" t="s">
        <v>230</v>
      </c>
      <c r="B473" s="130">
        <f t="shared" si="51"/>
        <v>620</v>
      </c>
      <c r="C473" s="202"/>
      <c r="D473" s="202"/>
      <c r="E473" s="202"/>
      <c r="F473" s="202">
        <f t="shared" si="53"/>
        <v>0</v>
      </c>
      <c r="G473" s="133"/>
      <c r="H473" s="133"/>
      <c r="I473" s="133"/>
      <c r="J473" s="133"/>
      <c r="K473" s="133"/>
      <c r="L473" s="133">
        <f>400+L474</f>
        <v>620</v>
      </c>
      <c r="M473" s="133"/>
      <c r="N473" s="133"/>
      <c r="O473" s="133"/>
      <c r="P473" s="133"/>
    </row>
    <row r="474" spans="1:16" ht="38.25" customHeight="1">
      <c r="A474" s="250" t="s">
        <v>833</v>
      </c>
      <c r="B474" s="130">
        <f t="shared" si="51"/>
        <v>220</v>
      </c>
      <c r="C474" s="202"/>
      <c r="D474" s="202"/>
      <c r="E474" s="202"/>
      <c r="F474" s="202">
        <f t="shared" si="53"/>
        <v>0</v>
      </c>
      <c r="G474" s="133"/>
      <c r="H474" s="133"/>
      <c r="I474" s="133"/>
      <c r="J474" s="133"/>
      <c r="K474" s="133"/>
      <c r="L474" s="133">
        <v>220</v>
      </c>
      <c r="M474" s="133"/>
      <c r="N474" s="133"/>
      <c r="O474" s="133"/>
      <c r="P474" s="133"/>
    </row>
    <row r="475" spans="1:16" ht="18" customHeight="1">
      <c r="A475" s="129" t="s">
        <v>231</v>
      </c>
      <c r="B475" s="130">
        <f t="shared" si="51"/>
        <v>400</v>
      </c>
      <c r="C475" s="202"/>
      <c r="D475" s="202"/>
      <c r="E475" s="202"/>
      <c r="F475" s="202">
        <f t="shared" si="53"/>
        <v>0</v>
      </c>
      <c r="G475" s="133"/>
      <c r="H475" s="133"/>
      <c r="I475" s="133"/>
      <c r="J475" s="133"/>
      <c r="K475" s="133"/>
      <c r="L475" s="133">
        <v>400</v>
      </c>
      <c r="M475" s="133"/>
      <c r="N475" s="133"/>
      <c r="O475" s="133"/>
      <c r="P475" s="133"/>
    </row>
    <row r="476" spans="1:16" ht="19.5" customHeight="1">
      <c r="A476" s="129" t="s">
        <v>232</v>
      </c>
      <c r="B476" s="130">
        <f t="shared" si="51"/>
        <v>400</v>
      </c>
      <c r="C476" s="202"/>
      <c r="D476" s="202"/>
      <c r="E476" s="202"/>
      <c r="F476" s="202">
        <f t="shared" si="53"/>
        <v>0</v>
      </c>
      <c r="G476" s="133"/>
      <c r="H476" s="133"/>
      <c r="I476" s="133"/>
      <c r="J476" s="133"/>
      <c r="K476" s="133"/>
      <c r="L476" s="133">
        <v>400</v>
      </c>
      <c r="M476" s="133"/>
      <c r="N476" s="133"/>
      <c r="O476" s="133"/>
      <c r="P476" s="133"/>
    </row>
    <row r="477" spans="1:16" ht="17.25" customHeight="1">
      <c r="A477" s="129" t="s">
        <v>828</v>
      </c>
      <c r="B477" s="130">
        <f t="shared" si="51"/>
        <v>300</v>
      </c>
      <c r="C477" s="202"/>
      <c r="D477" s="202"/>
      <c r="E477" s="202"/>
      <c r="F477" s="202"/>
      <c r="G477" s="133"/>
      <c r="H477" s="133"/>
      <c r="I477" s="133"/>
      <c r="J477" s="133"/>
      <c r="K477" s="133"/>
      <c r="L477" s="133">
        <v>300</v>
      </c>
      <c r="M477" s="133"/>
      <c r="N477" s="133"/>
      <c r="O477" s="133"/>
      <c r="P477" s="133"/>
    </row>
    <row r="478" spans="1:16" ht="30" customHeight="1">
      <c r="A478" s="129" t="s">
        <v>241</v>
      </c>
      <c r="B478" s="130">
        <f t="shared" si="51"/>
        <v>188210</v>
      </c>
      <c r="C478" s="202"/>
      <c r="D478" s="202"/>
      <c r="E478" s="202"/>
      <c r="F478" s="202">
        <f t="shared" si="53"/>
        <v>0</v>
      </c>
      <c r="G478" s="133"/>
      <c r="H478" s="133"/>
      <c r="I478" s="133"/>
      <c r="J478" s="133"/>
      <c r="K478" s="133"/>
      <c r="L478" s="133"/>
      <c r="M478" s="133"/>
      <c r="N478" s="133">
        <v>188210</v>
      </c>
      <c r="O478" s="133"/>
      <c r="P478" s="133"/>
    </row>
    <row r="479" spans="1:16" ht="30" customHeight="1">
      <c r="A479" s="129" t="s">
        <v>731</v>
      </c>
      <c r="B479" s="130">
        <f t="shared" si="51"/>
        <v>0</v>
      </c>
      <c r="C479" s="202"/>
      <c r="D479" s="202"/>
      <c r="E479" s="202"/>
      <c r="F479" s="202">
        <f t="shared" si="53"/>
        <v>0</v>
      </c>
      <c r="G479" s="133"/>
      <c r="H479" s="133"/>
      <c r="I479" s="133"/>
      <c r="J479" s="133"/>
      <c r="K479" s="133"/>
      <c r="L479" s="133"/>
      <c r="M479" s="133"/>
      <c r="N479" s="133">
        <f>29524+N480</f>
        <v>0</v>
      </c>
      <c r="O479" s="133"/>
      <c r="P479" s="133"/>
    </row>
    <row r="480" spans="1:16" ht="30" customHeight="1">
      <c r="A480" s="250" t="s">
        <v>833</v>
      </c>
      <c r="B480" s="230">
        <f t="shared" si="51"/>
        <v>-29524</v>
      </c>
      <c r="C480" s="202"/>
      <c r="D480" s="202"/>
      <c r="E480" s="202"/>
      <c r="F480" s="202"/>
      <c r="G480" s="133"/>
      <c r="H480" s="133"/>
      <c r="I480" s="133"/>
      <c r="J480" s="133"/>
      <c r="K480" s="133"/>
      <c r="L480" s="133"/>
      <c r="M480" s="133"/>
      <c r="N480" s="133">
        <v>-29524</v>
      </c>
      <c r="O480" s="133"/>
      <c r="P480" s="133"/>
    </row>
    <row r="481" spans="1:16" ht="30" customHeight="1">
      <c r="A481" s="138" t="s">
        <v>690</v>
      </c>
      <c r="B481" s="130">
        <f>SUM(C481+F481,L481:P481)</f>
        <v>10339</v>
      </c>
      <c r="C481" s="202">
        <f>D481+E481</f>
        <v>1135</v>
      </c>
      <c r="D481" s="202">
        <f>241+D482</f>
        <v>727</v>
      </c>
      <c r="E481" s="202">
        <f>293+E482</f>
        <v>408</v>
      </c>
      <c r="F481" s="202">
        <f>SUM(G481:K481)</f>
        <v>9204</v>
      </c>
      <c r="G481" s="133"/>
      <c r="H481" s="133">
        <f>2000+3312+H482</f>
        <v>7539</v>
      </c>
      <c r="I481" s="133">
        <f>I482</f>
        <v>1665</v>
      </c>
      <c r="J481" s="133"/>
      <c r="K481" s="133"/>
      <c r="L481" s="133"/>
      <c r="M481" s="133"/>
      <c r="N481" s="133"/>
      <c r="O481" s="133">
        <v>0</v>
      </c>
      <c r="P481" s="133">
        <v>0</v>
      </c>
    </row>
    <row r="482" spans="1:16" ht="30" customHeight="1">
      <c r="A482" s="260" t="s">
        <v>833</v>
      </c>
      <c r="B482" s="230">
        <f>SUM(C482+F482,L482:P482)</f>
        <v>4493</v>
      </c>
      <c r="C482" s="202">
        <f>D482+E482</f>
        <v>601</v>
      </c>
      <c r="D482" s="202">
        <v>486</v>
      </c>
      <c r="E482" s="202">
        <v>115</v>
      </c>
      <c r="F482" s="202">
        <f>SUM(G482:K482)</f>
        <v>3892</v>
      </c>
      <c r="G482" s="133"/>
      <c r="H482" s="133">
        <v>2227</v>
      </c>
      <c r="I482" s="133">
        <v>1665</v>
      </c>
      <c r="J482" s="133"/>
      <c r="K482" s="133"/>
      <c r="L482" s="133"/>
      <c r="M482" s="133"/>
      <c r="N482" s="133"/>
      <c r="O482" s="133"/>
      <c r="P482" s="133"/>
    </row>
    <row r="483" spans="1:16" ht="21.75" customHeight="1">
      <c r="A483" s="129" t="s">
        <v>184</v>
      </c>
      <c r="B483" s="130">
        <f t="shared" si="51"/>
        <v>100000</v>
      </c>
      <c r="C483" s="202">
        <f t="shared" si="54" ref="C483:C490">D483+E483</f>
        <v>0</v>
      </c>
      <c r="D483" s="202"/>
      <c r="E483" s="202"/>
      <c r="F483" s="202">
        <f t="shared" si="53"/>
        <v>5687</v>
      </c>
      <c r="G483" s="133"/>
      <c r="H483" s="133">
        <v>5687</v>
      </c>
      <c r="I483" s="133"/>
      <c r="J483" s="133"/>
      <c r="K483" s="133"/>
      <c r="L483" s="133"/>
      <c r="M483" s="133"/>
      <c r="N483" s="133">
        <f>100000+(-5687)</f>
        <v>94313</v>
      </c>
      <c r="O483" s="133"/>
      <c r="P483" s="133"/>
    </row>
    <row r="484" spans="1:16" ht="30" customHeight="1">
      <c r="A484" s="129" t="s">
        <v>239</v>
      </c>
      <c r="B484" s="130">
        <f>SUM(C484+F484,L484:P484)</f>
        <v>311642</v>
      </c>
      <c r="C484" s="202">
        <f t="shared" si="54"/>
        <v>0</v>
      </c>
      <c r="D484" s="202"/>
      <c r="E484" s="202"/>
      <c r="F484" s="202">
        <f t="shared" si="53"/>
        <v>2720</v>
      </c>
      <c r="G484" s="133"/>
      <c r="H484" s="133">
        <v>2720</v>
      </c>
      <c r="I484" s="133"/>
      <c r="J484" s="133"/>
      <c r="K484" s="133"/>
      <c r="L484" s="133"/>
      <c r="M484" s="133"/>
      <c r="N484" s="133">
        <f>311642+(-2720)</f>
        <v>308922</v>
      </c>
      <c r="O484" s="133"/>
      <c r="P484" s="133"/>
    </row>
    <row r="485" spans="1:16" ht="32.25" customHeight="1">
      <c r="A485" s="129" t="s">
        <v>240</v>
      </c>
      <c r="B485" s="130">
        <f t="shared" si="51"/>
        <v>380947</v>
      </c>
      <c r="C485" s="202">
        <f t="shared" si="54"/>
        <v>0</v>
      </c>
      <c r="D485" s="202"/>
      <c r="E485" s="202"/>
      <c r="F485" s="202">
        <f t="shared" si="53"/>
        <v>0</v>
      </c>
      <c r="G485" s="133"/>
      <c r="H485" s="133"/>
      <c r="I485" s="133"/>
      <c r="J485" s="133"/>
      <c r="K485" s="133"/>
      <c r="L485" s="133"/>
      <c r="M485" s="133"/>
      <c r="N485" s="133">
        <v>380947</v>
      </c>
      <c r="O485" s="133"/>
      <c r="P485" s="133"/>
    </row>
    <row r="486" spans="1:16" ht="21.75" customHeight="1">
      <c r="A486" s="129" t="s">
        <v>745</v>
      </c>
      <c r="B486" s="130">
        <f t="shared" si="51"/>
        <v>60000</v>
      </c>
      <c r="C486" s="202">
        <f t="shared" si="54"/>
        <v>0</v>
      </c>
      <c r="D486" s="202"/>
      <c r="E486" s="202"/>
      <c r="F486" s="202">
        <f>SUM(G486:K486)</f>
        <v>60000</v>
      </c>
      <c r="G486" s="133"/>
      <c r="H486" s="133">
        <v>60000</v>
      </c>
      <c r="I486" s="133"/>
      <c r="J486" s="133"/>
      <c r="K486" s="133"/>
      <c r="L486" s="133"/>
      <c r="M486" s="133"/>
      <c r="N486" s="133"/>
      <c r="O486" s="133"/>
      <c r="P486" s="133"/>
    </row>
    <row r="487" spans="1:16" ht="35.25" customHeight="1">
      <c r="A487" s="129" t="s">
        <v>740</v>
      </c>
      <c r="B487" s="130">
        <f t="shared" si="51"/>
        <v>3000</v>
      </c>
      <c r="C487" s="202">
        <f t="shared" si="54"/>
        <v>0</v>
      </c>
      <c r="D487" s="202"/>
      <c r="E487" s="202"/>
      <c r="F487" s="202">
        <f t="shared" si="53"/>
        <v>0</v>
      </c>
      <c r="G487" s="133"/>
      <c r="H487" s="133"/>
      <c r="I487" s="133"/>
      <c r="J487" s="133"/>
      <c r="K487" s="133"/>
      <c r="L487" s="133"/>
      <c r="M487" s="133"/>
      <c r="N487" s="133">
        <v>3000</v>
      </c>
      <c r="O487" s="133"/>
      <c r="P487" s="133"/>
    </row>
    <row r="488" spans="1:16" ht="19.5" customHeight="1">
      <c r="A488" s="129" t="s">
        <v>760</v>
      </c>
      <c r="B488" s="130">
        <f t="shared" si="51"/>
        <v>188613</v>
      </c>
      <c r="C488" s="202">
        <f t="shared" si="54"/>
        <v>0</v>
      </c>
      <c r="D488" s="202"/>
      <c r="E488" s="202"/>
      <c r="F488" s="202"/>
      <c r="G488" s="133"/>
      <c r="H488" s="133"/>
      <c r="I488" s="133"/>
      <c r="J488" s="133"/>
      <c r="K488" s="133"/>
      <c r="L488" s="133"/>
      <c r="M488" s="133"/>
      <c r="N488" s="133">
        <v>188613</v>
      </c>
      <c r="O488" s="133"/>
      <c r="P488" s="133"/>
    </row>
    <row r="489" spans="1:16" ht="30" customHeight="1">
      <c r="A489" s="129" t="s">
        <v>759</v>
      </c>
      <c r="B489" s="130">
        <f>SUM(C489+F489,L489:P489)</f>
        <v>12210</v>
      </c>
      <c r="C489" s="202">
        <f t="shared" si="54"/>
        <v>465</v>
      </c>
      <c r="D489" s="202">
        <f>D490</f>
        <v>376</v>
      </c>
      <c r="E489" s="202">
        <f>E490</f>
        <v>89</v>
      </c>
      <c r="F489" s="202">
        <f>SUM(G489:K489)</f>
        <v>11745</v>
      </c>
      <c r="G489" s="133"/>
      <c r="H489" s="133">
        <f>12210+H490</f>
        <v>9735</v>
      </c>
      <c r="I489" s="133">
        <f>I490</f>
        <v>2010</v>
      </c>
      <c r="J489" s="133"/>
      <c r="K489" s="133"/>
      <c r="L489" s="133"/>
      <c r="M489" s="133"/>
      <c r="N489" s="133"/>
      <c r="O489" s="133"/>
      <c r="P489" s="133"/>
    </row>
    <row r="490" spans="1:16" ht="30" customHeight="1">
      <c r="A490" s="250" t="s">
        <v>833</v>
      </c>
      <c r="B490" s="130">
        <f>SUM(C490+F490,L490:P490)</f>
        <v>0</v>
      </c>
      <c r="C490" s="202">
        <f t="shared" si="54"/>
        <v>465</v>
      </c>
      <c r="D490" s="202">
        <v>376</v>
      </c>
      <c r="E490" s="202">
        <v>89</v>
      </c>
      <c r="F490" s="202">
        <f>SUM(G490:K490)</f>
        <v>-465</v>
      </c>
      <c r="G490" s="133"/>
      <c r="H490" s="133">
        <v>-2475</v>
      </c>
      <c r="I490" s="133">
        <v>2010</v>
      </c>
      <c r="J490" s="133"/>
      <c r="K490" s="133"/>
      <c r="L490" s="133"/>
      <c r="M490" s="133"/>
      <c r="N490" s="133"/>
      <c r="O490" s="133"/>
      <c r="P490" s="133"/>
    </row>
    <row r="491" spans="1:16" ht="49.5" customHeight="1">
      <c r="A491" s="129" t="s">
        <v>814</v>
      </c>
      <c r="B491" s="130">
        <f t="shared" si="51"/>
        <v>5956</v>
      </c>
      <c r="C491" s="202"/>
      <c r="D491" s="202"/>
      <c r="E491" s="202"/>
      <c r="F491" s="202"/>
      <c r="G491" s="133"/>
      <c r="H491" s="133"/>
      <c r="I491" s="133"/>
      <c r="J491" s="133"/>
      <c r="K491" s="133"/>
      <c r="L491" s="133">
        <v>5956</v>
      </c>
      <c r="M491" s="133"/>
      <c r="N491" s="133"/>
      <c r="O491" s="133"/>
      <c r="P491" s="133"/>
    </row>
    <row r="492" spans="1:16" ht="30" customHeight="1">
      <c r="A492" s="129" t="s">
        <v>777</v>
      </c>
      <c r="B492" s="130">
        <f t="shared" si="51"/>
        <v>21130</v>
      </c>
      <c r="C492" s="202"/>
      <c r="D492" s="202"/>
      <c r="E492" s="202"/>
      <c r="F492" s="202"/>
      <c r="G492" s="133"/>
      <c r="H492" s="133"/>
      <c r="I492" s="133"/>
      <c r="J492" s="133"/>
      <c r="K492" s="133"/>
      <c r="L492" s="133">
        <v>21130</v>
      </c>
      <c r="M492" s="133"/>
      <c r="N492" s="133">
        <f>21130+(-21130)</f>
        <v>0</v>
      </c>
      <c r="O492" s="133"/>
      <c r="P492" s="133"/>
    </row>
    <row r="493" spans="1:16" ht="30" customHeight="1">
      <c r="A493" s="129" t="s">
        <v>815</v>
      </c>
      <c r="B493" s="130">
        <f t="shared" si="51"/>
        <v>12000</v>
      </c>
      <c r="C493" s="202"/>
      <c r="D493" s="202"/>
      <c r="E493" s="202"/>
      <c r="F493" s="202"/>
      <c r="G493" s="133"/>
      <c r="H493" s="133"/>
      <c r="I493" s="133"/>
      <c r="J493" s="133"/>
      <c r="K493" s="133"/>
      <c r="L493" s="133">
        <v>12000</v>
      </c>
      <c r="M493" s="133"/>
      <c r="N493" s="133"/>
      <c r="O493" s="133"/>
      <c r="P493" s="133"/>
    </row>
    <row r="494" spans="1:16" ht="30" customHeight="1">
      <c r="A494" s="129" t="s">
        <v>778</v>
      </c>
      <c r="B494" s="130">
        <f>SUM(C494+F494,L494:P494)</f>
        <v>5614</v>
      </c>
      <c r="C494" s="202"/>
      <c r="D494" s="202"/>
      <c r="E494" s="202"/>
      <c r="F494" s="202">
        <f>G494+H494+I494+J494+K494</f>
        <v>5614</v>
      </c>
      <c r="G494" s="133">
        <f>5614+(-131)</f>
        <v>5483</v>
      </c>
      <c r="H494" s="133"/>
      <c r="I494" s="133">
        <v>131</v>
      </c>
      <c r="J494" s="133"/>
      <c r="K494" s="133"/>
      <c r="L494" s="133"/>
      <c r="M494" s="133"/>
      <c r="N494" s="133"/>
      <c r="O494" s="133"/>
      <c r="P494" s="133"/>
    </row>
    <row r="495" spans="1:16" ht="48.75" customHeight="1">
      <c r="A495" s="222" t="s">
        <v>842</v>
      </c>
      <c r="B495" s="130">
        <f>SUM(C495+F495,L495:P495)</f>
        <v>3500</v>
      </c>
      <c r="C495" s="202">
        <f>D495+E495</f>
        <v>1900</v>
      </c>
      <c r="D495" s="202">
        <v>1900</v>
      </c>
      <c r="E495" s="202"/>
      <c r="F495" s="202">
        <f>G495+H495+I495+J495+K495</f>
        <v>1600</v>
      </c>
      <c r="G495" s="133"/>
      <c r="H495" s="133">
        <v>250</v>
      </c>
      <c r="I495" s="133">
        <v>1350</v>
      </c>
      <c r="J495" s="133"/>
      <c r="K495" s="133"/>
      <c r="L495" s="133"/>
      <c r="M495" s="133"/>
      <c r="N495" s="133"/>
      <c r="O495" s="133"/>
      <c r="P495" s="133"/>
    </row>
    <row r="496" spans="1:16" ht="42.75" customHeight="1">
      <c r="A496" s="131" t="s">
        <v>843</v>
      </c>
      <c r="B496" s="130">
        <f>SUM(C496+F496,L496:P496)</f>
        <v>2000</v>
      </c>
      <c r="C496" s="202">
        <f t="shared" si="55" ref="C496:C522">D496+E496</f>
        <v>230</v>
      </c>
      <c r="D496" s="202">
        <v>186</v>
      </c>
      <c r="E496" s="202">
        <v>44</v>
      </c>
      <c r="F496" s="202">
        <f t="shared" si="56" ref="F496:F522">G496+H496+I496+K496</f>
        <v>1770</v>
      </c>
      <c r="G496" s="133"/>
      <c r="H496" s="133">
        <v>1770</v>
      </c>
      <c r="I496" s="133"/>
      <c r="J496" s="133"/>
      <c r="K496" s="133"/>
      <c r="L496" s="133"/>
      <c r="M496" s="133"/>
      <c r="N496" s="133"/>
      <c r="O496" s="133"/>
      <c r="P496" s="133"/>
    </row>
    <row r="497" spans="1:17" ht="42.75" customHeight="1">
      <c r="A497" s="131" t="s">
        <v>848</v>
      </c>
      <c r="B497" s="130">
        <f t="shared" si="57" ref="B497:B505">SUM(C497+F497,L497:P497)</f>
        <v>2400</v>
      </c>
      <c r="C497" s="202">
        <f t="shared" si="55"/>
        <v>750</v>
      </c>
      <c r="D497" s="202">
        <v>750</v>
      </c>
      <c r="E497" s="202"/>
      <c r="F497" s="202">
        <f t="shared" si="56"/>
        <v>1650</v>
      </c>
      <c r="G497" s="133"/>
      <c r="H497" s="133"/>
      <c r="I497" s="133">
        <v>1650</v>
      </c>
      <c r="J497" s="133"/>
      <c r="K497" s="133"/>
      <c r="L497" s="133"/>
      <c r="M497" s="133"/>
      <c r="N497" s="133"/>
      <c r="O497" s="133"/>
      <c r="P497" s="133"/>
      <c r="Q497" s="81"/>
    </row>
    <row r="498" spans="1:16" ht="33.75" customHeight="1">
      <c r="A498" s="131" t="s">
        <v>846</v>
      </c>
      <c r="B498" s="130">
        <f t="shared" si="57"/>
        <v>2000</v>
      </c>
      <c r="C498" s="202">
        <f t="shared" si="55"/>
        <v>710</v>
      </c>
      <c r="D498" s="202">
        <v>710</v>
      </c>
      <c r="E498" s="202"/>
      <c r="F498" s="202">
        <f t="shared" si="56"/>
        <v>1290</v>
      </c>
      <c r="G498" s="133"/>
      <c r="H498" s="133">
        <v>915</v>
      </c>
      <c r="I498" s="133">
        <v>375</v>
      </c>
      <c r="J498" s="133"/>
      <c r="K498" s="133"/>
      <c r="L498" s="133"/>
      <c r="M498" s="133"/>
      <c r="N498" s="133"/>
      <c r="O498" s="133"/>
      <c r="P498" s="133"/>
    </row>
    <row r="499" spans="1:17" ht="36.75" customHeight="1">
      <c r="A499" s="131" t="s">
        <v>847</v>
      </c>
      <c r="B499" s="130">
        <f t="shared" si="57"/>
        <v>1000</v>
      </c>
      <c r="C499" s="202">
        <f t="shared" si="55"/>
        <v>1000</v>
      </c>
      <c r="D499" s="202">
        <v>1000</v>
      </c>
      <c r="E499" s="202"/>
      <c r="F499" s="202">
        <f t="shared" si="56"/>
        <v>0</v>
      </c>
      <c r="G499" s="133"/>
      <c r="H499" s="133"/>
      <c r="I499" s="133"/>
      <c r="J499" s="133"/>
      <c r="K499" s="133"/>
      <c r="L499" s="133"/>
      <c r="M499" s="133"/>
      <c r="N499" s="133"/>
      <c r="O499" s="133"/>
      <c r="P499" s="133"/>
      <c r="Q499" s="81"/>
    </row>
    <row r="500" spans="1:16" ht="47.25" customHeight="1">
      <c r="A500" s="131" t="s">
        <v>854</v>
      </c>
      <c r="B500" s="130">
        <f t="shared" si="57"/>
        <v>400</v>
      </c>
      <c r="C500" s="202">
        <f t="shared" si="55"/>
        <v>400</v>
      </c>
      <c r="D500" s="202">
        <v>400</v>
      </c>
      <c r="E500" s="202"/>
      <c r="F500" s="202"/>
      <c r="G500" s="133"/>
      <c r="H500" s="133"/>
      <c r="I500" s="133"/>
      <c r="J500" s="133"/>
      <c r="K500" s="133"/>
      <c r="L500" s="133"/>
      <c r="M500" s="133"/>
      <c r="N500" s="133"/>
      <c r="O500" s="133"/>
      <c r="P500" s="133"/>
    </row>
    <row r="501" spans="1:16" ht="42.75" customHeight="1">
      <c r="A501" s="131" t="s">
        <v>849</v>
      </c>
      <c r="B501" s="130">
        <f t="shared" si="57"/>
        <v>5300</v>
      </c>
      <c r="C501" s="202">
        <f t="shared" si="55"/>
        <v>0</v>
      </c>
      <c r="D501" s="202"/>
      <c r="E501" s="202"/>
      <c r="F501" s="202">
        <f t="shared" si="56"/>
        <v>5300</v>
      </c>
      <c r="G501" s="133"/>
      <c r="H501" s="133">
        <v>5300</v>
      </c>
      <c r="I501" s="133"/>
      <c r="J501" s="133"/>
      <c r="K501" s="133"/>
      <c r="L501" s="133"/>
      <c r="M501" s="133"/>
      <c r="N501" s="133"/>
      <c r="O501" s="133"/>
      <c r="P501" s="133"/>
    </row>
    <row r="502" spans="1:16" ht="51" customHeight="1">
      <c r="A502" s="131" t="s">
        <v>850</v>
      </c>
      <c r="B502" s="130">
        <f t="shared" si="57"/>
        <v>10000</v>
      </c>
      <c r="C502" s="202">
        <f t="shared" si="55"/>
        <v>0</v>
      </c>
      <c r="D502" s="202"/>
      <c r="E502" s="202"/>
      <c r="F502" s="202">
        <f t="shared" si="56"/>
        <v>0</v>
      </c>
      <c r="G502" s="133"/>
      <c r="H502" s="133"/>
      <c r="I502" s="133"/>
      <c r="J502" s="133"/>
      <c r="K502" s="133"/>
      <c r="L502" s="133"/>
      <c r="M502" s="133"/>
      <c r="N502" s="133">
        <v>10000</v>
      </c>
      <c r="O502" s="133"/>
      <c r="P502" s="133"/>
    </row>
    <row r="503" spans="1:16" ht="25.5" customHeight="1">
      <c r="A503" s="131" t="s">
        <v>851</v>
      </c>
      <c r="B503" s="130">
        <f t="shared" si="57"/>
        <v>6492</v>
      </c>
      <c r="C503" s="202">
        <f t="shared" si="55"/>
        <v>271</v>
      </c>
      <c r="D503" s="202">
        <v>219</v>
      </c>
      <c r="E503" s="202">
        <v>52</v>
      </c>
      <c r="F503" s="202">
        <f t="shared" si="56"/>
        <v>5863</v>
      </c>
      <c r="G503" s="133"/>
      <c r="H503" s="133">
        <v>1256</v>
      </c>
      <c r="I503" s="133">
        <f>4965+I504</f>
        <v>4607</v>
      </c>
      <c r="J503" s="133"/>
      <c r="K503" s="133"/>
      <c r="L503" s="133"/>
      <c r="M503" s="133"/>
      <c r="N503" s="133"/>
      <c r="O503" s="133"/>
      <c r="P503" s="133">
        <f>P504</f>
        <v>358</v>
      </c>
    </row>
    <row r="504" spans="1:16" ht="25.5" customHeight="1">
      <c r="A504" s="250" t="s">
        <v>833</v>
      </c>
      <c r="B504" s="230">
        <f t="shared" si="57"/>
        <v>0</v>
      </c>
      <c r="C504" s="202"/>
      <c r="D504" s="202"/>
      <c r="E504" s="202"/>
      <c r="F504" s="202">
        <f t="shared" si="56"/>
        <v>-358</v>
      </c>
      <c r="G504" s="133"/>
      <c r="H504" s="133"/>
      <c r="I504" s="133">
        <v>-358</v>
      </c>
      <c r="J504" s="133"/>
      <c r="K504" s="133"/>
      <c r="L504" s="133"/>
      <c r="M504" s="133"/>
      <c r="N504" s="133"/>
      <c r="O504" s="133"/>
      <c r="P504" s="133">
        <v>358</v>
      </c>
    </row>
    <row r="505" spans="1:16" ht="36.75" customHeight="1">
      <c r="A505" s="131" t="s">
        <v>866</v>
      </c>
      <c r="B505" s="130">
        <f t="shared" si="57"/>
        <v>661.23</v>
      </c>
      <c r="C505" s="202"/>
      <c r="D505" s="202"/>
      <c r="E505" s="202"/>
      <c r="F505" s="202"/>
      <c r="G505" s="133"/>
      <c r="H505" s="133"/>
      <c r="I505" s="133"/>
      <c r="J505" s="133"/>
      <c r="K505" s="133"/>
      <c r="L505" s="133"/>
      <c r="M505" s="133"/>
      <c r="N505" s="133"/>
      <c r="O505" s="133"/>
      <c r="P505" s="133">
        <v>661.23</v>
      </c>
    </row>
    <row r="506" spans="1:16" ht="51.75" customHeight="1">
      <c r="A506" s="131" t="s">
        <v>859</v>
      </c>
      <c r="B506" s="130">
        <f t="shared" si="58" ref="B506:B522">SUM(C506+F506,L506:P506)</f>
        <v>3500</v>
      </c>
      <c r="C506" s="202">
        <f t="shared" si="55"/>
        <v>0</v>
      </c>
      <c r="D506" s="202"/>
      <c r="E506" s="202"/>
      <c r="F506" s="202">
        <f t="shared" si="56"/>
        <v>3500</v>
      </c>
      <c r="G506" s="133"/>
      <c r="H506" s="133">
        <v>3500</v>
      </c>
      <c r="I506" s="133"/>
      <c r="J506" s="133"/>
      <c r="K506" s="133"/>
      <c r="L506" s="133"/>
      <c r="M506" s="133"/>
      <c r="N506" s="133"/>
      <c r="O506" s="133"/>
      <c r="P506" s="133"/>
    </row>
    <row r="507" spans="1:16" ht="42" customHeight="1">
      <c r="A507" s="131" t="s">
        <v>858</v>
      </c>
      <c r="B507" s="130">
        <f t="shared" si="58"/>
        <v>36004</v>
      </c>
      <c r="C507" s="202">
        <f t="shared" si="55"/>
        <v>0</v>
      </c>
      <c r="D507" s="202"/>
      <c r="E507" s="202"/>
      <c r="F507" s="202">
        <f t="shared" si="56"/>
        <v>36004</v>
      </c>
      <c r="G507" s="133"/>
      <c r="H507" s="133">
        <v>36004</v>
      </c>
      <c r="I507" s="133"/>
      <c r="J507" s="133"/>
      <c r="K507" s="133"/>
      <c r="L507" s="133"/>
      <c r="M507" s="133"/>
      <c r="N507" s="133"/>
      <c r="O507" s="133"/>
      <c r="P507" s="133"/>
    </row>
    <row r="508" spans="1:16" ht="26.45" customHeight="1">
      <c r="A508" s="131" t="s">
        <v>863</v>
      </c>
      <c r="B508" s="130">
        <f t="shared" si="58"/>
        <v>51862</v>
      </c>
      <c r="C508" s="202">
        <f t="shared" si="55"/>
        <v>51695</v>
      </c>
      <c r="D508" s="202">
        <f>32365+D509</f>
        <v>41830</v>
      </c>
      <c r="E508" s="202">
        <f>7635+E509</f>
        <v>9865</v>
      </c>
      <c r="F508" s="202">
        <f t="shared" si="56"/>
        <v>167</v>
      </c>
      <c r="G508" s="133"/>
      <c r="H508" s="133">
        <f>280+H509</f>
        <v>167</v>
      </c>
      <c r="I508" s="133"/>
      <c r="J508" s="133"/>
      <c r="K508" s="133"/>
      <c r="L508" s="133"/>
      <c r="M508" s="133"/>
      <c r="N508" s="133"/>
      <c r="O508" s="133"/>
      <c r="P508" s="133"/>
    </row>
    <row r="509" spans="1:16" ht="26.45" customHeight="1">
      <c r="A509" s="250" t="s">
        <v>833</v>
      </c>
      <c r="B509" s="230">
        <f t="shared" si="58"/>
        <v>11582</v>
      </c>
      <c r="C509" s="202">
        <f t="shared" si="55"/>
        <v>11695</v>
      </c>
      <c r="D509" s="202">
        <v>9465</v>
      </c>
      <c r="E509" s="202">
        <v>2230</v>
      </c>
      <c r="F509" s="202">
        <f t="shared" si="56"/>
        <v>-113</v>
      </c>
      <c r="G509" s="133"/>
      <c r="H509" s="133">
        <v>-113</v>
      </c>
      <c r="I509" s="133"/>
      <c r="J509" s="133"/>
      <c r="K509" s="133"/>
      <c r="L509" s="133"/>
      <c r="M509" s="133"/>
      <c r="N509" s="133"/>
      <c r="O509" s="133"/>
      <c r="P509" s="133"/>
    </row>
    <row r="510" spans="1:16" ht="36" customHeight="1">
      <c r="A510" s="131" t="s">
        <v>873</v>
      </c>
      <c r="B510" s="130">
        <f t="shared" si="58"/>
        <v>7057</v>
      </c>
      <c r="C510" s="202">
        <f t="shared" si="55"/>
        <v>7057</v>
      </c>
      <c r="D510" s="202">
        <v>5709</v>
      </c>
      <c r="E510" s="202">
        <v>1348</v>
      </c>
      <c r="F510" s="202">
        <f t="shared" si="56"/>
        <v>0</v>
      </c>
      <c r="G510" s="133"/>
      <c r="H510" s="133"/>
      <c r="I510" s="133"/>
      <c r="J510" s="133"/>
      <c r="K510" s="133"/>
      <c r="L510" s="133"/>
      <c r="M510" s="133"/>
      <c r="N510" s="133"/>
      <c r="O510" s="133"/>
      <c r="P510" s="133"/>
    </row>
    <row r="511" spans="1:16" ht="36" customHeight="1">
      <c r="A511" s="131" t="s">
        <v>874</v>
      </c>
      <c r="B511" s="130">
        <f t="shared" si="58"/>
        <v>1078</v>
      </c>
      <c r="C511" s="202">
        <f t="shared" si="55"/>
        <v>0</v>
      </c>
      <c r="D511" s="202"/>
      <c r="E511" s="202"/>
      <c r="F511" s="202">
        <f t="shared" si="56"/>
        <v>1078</v>
      </c>
      <c r="G511" s="133"/>
      <c r="H511" s="133">
        <v>1078</v>
      </c>
      <c r="I511" s="133"/>
      <c r="J511" s="133"/>
      <c r="K511" s="133"/>
      <c r="L511" s="133"/>
      <c r="M511" s="133"/>
      <c r="N511" s="133"/>
      <c r="O511" s="133"/>
      <c r="P511" s="133"/>
    </row>
    <row r="512" spans="1:16" ht="36" customHeight="1">
      <c r="A512" s="131" t="s">
        <v>877</v>
      </c>
      <c r="B512" s="130">
        <f t="shared" si="58"/>
        <v>8500</v>
      </c>
      <c r="C512" s="202">
        <f t="shared" si="55"/>
        <v>0</v>
      </c>
      <c r="D512" s="202">
        <f>821+D513</f>
        <v>0</v>
      </c>
      <c r="E512" s="202"/>
      <c r="F512" s="202">
        <f t="shared" si="56"/>
        <v>8500</v>
      </c>
      <c r="G512" s="133"/>
      <c r="H512" s="133">
        <f>4879+H513</f>
        <v>6060</v>
      </c>
      <c r="I512" s="133">
        <f>2800+I513</f>
        <v>2440</v>
      </c>
      <c r="J512" s="133"/>
      <c r="K512" s="133"/>
      <c r="L512" s="133"/>
      <c r="M512" s="133"/>
      <c r="N512" s="133"/>
      <c r="O512" s="133"/>
      <c r="P512" s="133"/>
    </row>
    <row r="513" spans="1:16" ht="36" customHeight="1">
      <c r="A513" s="250" t="s">
        <v>833</v>
      </c>
      <c r="B513" s="230">
        <f t="shared" si="58"/>
        <v>0</v>
      </c>
      <c r="C513" s="202">
        <f t="shared" si="55"/>
        <v>-821</v>
      </c>
      <c r="D513" s="202">
        <v>-821</v>
      </c>
      <c r="E513" s="202"/>
      <c r="F513" s="202">
        <f t="shared" si="56"/>
        <v>821</v>
      </c>
      <c r="G513" s="133"/>
      <c r="H513" s="133">
        <v>1181</v>
      </c>
      <c r="I513" s="133">
        <v>-360</v>
      </c>
      <c r="J513" s="133"/>
      <c r="K513" s="133"/>
      <c r="L513" s="133"/>
      <c r="M513" s="133"/>
      <c r="N513" s="133"/>
      <c r="O513" s="133"/>
      <c r="P513" s="133"/>
    </row>
    <row r="514" spans="1:16" ht="45.75" customHeight="1">
      <c r="A514" s="238" t="s">
        <v>881</v>
      </c>
      <c r="B514" s="130">
        <f t="shared" si="58"/>
        <v>1513</v>
      </c>
      <c r="C514" s="202">
        <f t="shared" si="55"/>
        <v>340</v>
      </c>
      <c r="D514" s="202">
        <v>340</v>
      </c>
      <c r="E514" s="202"/>
      <c r="F514" s="202">
        <f t="shared" si="56"/>
        <v>1173</v>
      </c>
      <c r="G514" s="133"/>
      <c r="H514" s="133">
        <v>155</v>
      </c>
      <c r="I514" s="133">
        <v>1018</v>
      </c>
      <c r="J514" s="133"/>
      <c r="K514" s="133"/>
      <c r="L514" s="133"/>
      <c r="M514" s="133"/>
      <c r="N514" s="133"/>
      <c r="O514" s="133"/>
      <c r="P514" s="133"/>
    </row>
    <row r="515" spans="1:16" ht="45.75" customHeight="1">
      <c r="A515" s="238" t="s">
        <v>888</v>
      </c>
      <c r="B515" s="130">
        <f t="shared" si="58"/>
        <v>23808</v>
      </c>
      <c r="C515" s="202">
        <f t="shared" si="55"/>
        <v>0</v>
      </c>
      <c r="D515" s="202"/>
      <c r="E515" s="202"/>
      <c r="F515" s="202">
        <f t="shared" si="56"/>
        <v>23808</v>
      </c>
      <c r="G515" s="133">
        <v>5000</v>
      </c>
      <c r="H515" s="133">
        <v>18808</v>
      </c>
      <c r="I515" s="133"/>
      <c r="J515" s="133"/>
      <c r="K515" s="133"/>
      <c r="L515" s="133"/>
      <c r="M515" s="133"/>
      <c r="N515" s="133"/>
      <c r="O515" s="133"/>
      <c r="P515" s="133"/>
    </row>
    <row r="516" spans="1:16" ht="61.15" customHeight="1">
      <c r="A516" s="238" t="s">
        <v>891</v>
      </c>
      <c r="B516" s="130">
        <f t="shared" si="58"/>
        <v>7792</v>
      </c>
      <c r="C516" s="202">
        <f t="shared" si="55"/>
        <v>0</v>
      </c>
      <c r="D516" s="202"/>
      <c r="E516" s="202"/>
      <c r="F516" s="202">
        <f t="shared" si="56"/>
        <v>7792</v>
      </c>
      <c r="G516" s="133">
        <v>4364</v>
      </c>
      <c r="H516" s="133"/>
      <c r="I516" s="133">
        <v>3428</v>
      </c>
      <c r="J516" s="133"/>
      <c r="K516" s="133"/>
      <c r="L516" s="133"/>
      <c r="M516" s="133"/>
      <c r="N516" s="133"/>
      <c r="O516" s="133"/>
      <c r="P516" s="133"/>
    </row>
    <row r="517" spans="1:16" ht="37.5" customHeight="1">
      <c r="A517" s="267" t="s">
        <v>900</v>
      </c>
      <c r="B517" s="230">
        <f t="shared" si="58"/>
        <v>945</v>
      </c>
      <c r="C517" s="202">
        <f t="shared" si="55"/>
        <v>0</v>
      </c>
      <c r="D517" s="202"/>
      <c r="E517" s="202"/>
      <c r="F517" s="202">
        <f t="shared" si="56"/>
        <v>945</v>
      </c>
      <c r="G517" s="133">
        <v>433</v>
      </c>
      <c r="H517" s="133">
        <v>500</v>
      </c>
      <c r="I517" s="133">
        <v>12</v>
      </c>
      <c r="J517" s="133"/>
      <c r="K517" s="133"/>
      <c r="L517" s="133"/>
      <c r="M517" s="133"/>
      <c r="N517" s="133"/>
      <c r="O517" s="133"/>
      <c r="P517" s="133"/>
    </row>
    <row r="518" spans="1:16" ht="103.5" customHeight="1">
      <c r="A518" s="238" t="s">
        <v>894</v>
      </c>
      <c r="B518" s="130">
        <f t="shared" si="58"/>
        <v>69465</v>
      </c>
      <c r="C518" s="202">
        <f t="shared" si="55"/>
        <v>2000</v>
      </c>
      <c r="D518" s="202">
        <f>D519</f>
        <v>1618</v>
      </c>
      <c r="E518" s="202">
        <f>E519</f>
        <v>382</v>
      </c>
      <c r="F518" s="202">
        <f t="shared" si="56"/>
        <v>67465</v>
      </c>
      <c r="G518" s="133">
        <f>68156+G519</f>
        <v>20390</v>
      </c>
      <c r="H518" s="133">
        <f>1309+H519</f>
        <v>45512</v>
      </c>
      <c r="I518" s="133">
        <f>I519</f>
        <v>1563</v>
      </c>
      <c r="J518" s="133"/>
      <c r="K518" s="133"/>
      <c r="L518" s="133"/>
      <c r="M518" s="133"/>
      <c r="N518" s="133"/>
      <c r="O518" s="133"/>
      <c r="P518" s="133"/>
    </row>
    <row r="519" spans="1:16" ht="42.75" customHeight="1">
      <c r="A519" s="266" t="s">
        <v>833</v>
      </c>
      <c r="B519" s="130">
        <f t="shared" si="58"/>
        <v>0</v>
      </c>
      <c r="C519" s="202">
        <f t="shared" si="55"/>
        <v>2000</v>
      </c>
      <c r="D519" s="202">
        <v>1618</v>
      </c>
      <c r="E519" s="202">
        <v>382</v>
      </c>
      <c r="F519" s="202">
        <f t="shared" si="56"/>
        <v>-2000</v>
      </c>
      <c r="G519" s="133">
        <v>-47766</v>
      </c>
      <c r="H519" s="133">
        <v>44203</v>
      </c>
      <c r="I519" s="133">
        <v>1563</v>
      </c>
      <c r="J519" s="133"/>
      <c r="K519" s="133"/>
      <c r="L519" s="133"/>
      <c r="M519" s="133"/>
      <c r="N519" s="133"/>
      <c r="O519" s="133"/>
      <c r="P519" s="133"/>
    </row>
    <row r="520" spans="1:16" ht="74.25" customHeight="1">
      <c r="A520" s="238" t="s">
        <v>892</v>
      </c>
      <c r="B520" s="130">
        <f t="shared" si="58"/>
        <v>72509</v>
      </c>
      <c r="C520" s="202">
        <f t="shared" si="55"/>
        <v>0</v>
      </c>
      <c r="D520" s="202"/>
      <c r="E520" s="202"/>
      <c r="F520" s="202">
        <f t="shared" si="56"/>
        <v>40300</v>
      </c>
      <c r="G520" s="133"/>
      <c r="H520" s="133">
        <f>H521</f>
        <v>40300</v>
      </c>
      <c r="I520" s="133"/>
      <c r="J520" s="133"/>
      <c r="K520" s="133"/>
      <c r="L520" s="133"/>
      <c r="M520" s="133"/>
      <c r="N520" s="133"/>
      <c r="O520" s="133"/>
      <c r="P520" s="133">
        <f>72509+P521</f>
        <v>32209</v>
      </c>
    </row>
    <row r="521" spans="1:16" ht="22.5" customHeight="1">
      <c r="A521" s="266" t="s">
        <v>833</v>
      </c>
      <c r="B521" s="230">
        <f t="shared" si="58"/>
        <v>0</v>
      </c>
      <c r="C521" s="202">
        <f t="shared" si="55"/>
        <v>0</v>
      </c>
      <c r="D521" s="202"/>
      <c r="E521" s="202"/>
      <c r="F521" s="202">
        <f t="shared" si="56"/>
        <v>40300</v>
      </c>
      <c r="G521" s="133"/>
      <c r="H521" s="133">
        <v>40300</v>
      </c>
      <c r="I521" s="133"/>
      <c r="J521" s="133"/>
      <c r="K521" s="133"/>
      <c r="L521" s="133"/>
      <c r="M521" s="133"/>
      <c r="N521" s="133"/>
      <c r="O521" s="133"/>
      <c r="P521" s="133">
        <v>-40300</v>
      </c>
    </row>
    <row r="522" spans="1:16" ht="38.25" customHeight="1">
      <c r="A522" s="267" t="s">
        <v>901</v>
      </c>
      <c r="B522" s="230">
        <f t="shared" si="58"/>
        <v>5018</v>
      </c>
      <c r="C522" s="202">
        <f t="shared" si="55"/>
        <v>2487</v>
      </c>
      <c r="D522" s="202">
        <v>2012</v>
      </c>
      <c r="E522" s="202">
        <v>475</v>
      </c>
      <c r="F522" s="202">
        <f t="shared" si="56"/>
        <v>2531</v>
      </c>
      <c r="G522" s="133">
        <v>1649</v>
      </c>
      <c r="H522" s="133">
        <v>478</v>
      </c>
      <c r="I522" s="133">
        <v>404</v>
      </c>
      <c r="J522" s="133"/>
      <c r="K522" s="133"/>
      <c r="L522" s="133"/>
      <c r="M522" s="133"/>
      <c r="N522" s="133"/>
      <c r="O522" s="133"/>
      <c r="P522" s="133"/>
    </row>
    <row r="523" spans="1:19" ht="26.45" customHeight="1">
      <c r="A523" s="223" t="s">
        <v>57</v>
      </c>
      <c r="B523" s="127">
        <f>SUM(B18:B522)-B521-B519-B513-B509-B504-B490-B482-B480-B474-B468-B466-B464-B462-B460-B458-B456-B453-B451-B449-B446-B444-B442-B438-B436-B434-B430-B428-B426-B424-B422-B420-B418-B416-B412-B410-B408-B406-B402-B400-B398-B395-B393-B391-B389-B387-B385-B383-B381-B379-B377-B373-B371-B369-B366-B364-B362-B360-B358-B356-B354-B352-B350-B348-B346-B344-B342-B340-B338-B336-B334-B332-B330-B328-B326-B324-B322-B320-B318-B316-B314-B312-B310-B307-B305-B303-B301-B299-B297-B295-B414-B293-B291-B289-B287-B284-B282-B280-B278-B276-B274-B271-B269-B267-B262-B254-B252-B250-B248-B246-B244-B242-B239-B237-B234-B229-B232-B227-B225-B222-B220-B217-B215-B213-B211-B209-B207-B205-B203-B200-B198-B196-B194-B192-B190-B182-B180-B178-B176-B174-B172-B170-B168-B166-B164-B162-B160-B158-B156-B154-B152-B148-B146-B142-B138-B136-B127-B124-B122-B115-B113-B108-B103-B99-B94-B92-B90-B85-B82-B80-B78-B75-B73-B71-B69-B67-B65-B63-B61-B59-B57-B55-B53-B51-B49-B47-B45-B43-B41-B39-B37-B35-B33-B31-B29-B27-B25-B23</f>
        <v>39100637.210000001</v>
      </c>
      <c r="C523" s="127">
        <f t="shared" si="59" ref="C523:P523">SUM(C18:C522)-C521-C519-C513-C509-C504-C490-C482-C480-C474-C468-C466-C464-C462-C460-C458-C456-C453-C451-C449-C446-C444-C442-C438-C436-C434-C430-C428-C426-C424-C422-C420-C418-C416-C412-C410-C408-C406-C402-C400-C398-C395-C393-C391-C389-C387-C385-C383-C381-C379-C377-C373-C371-C369-C366-C364-C362-C360-C358-C356-C354-C352-C350-C348-C346-C344-C342-C340-C338-C336-C334-C332-C330-C328-C326-C324-C322-C320-C318-C316-C314-C312-C310-C307-C305-C303-C301-C299-C297-C295-C414-C293-C291-C289-C287-C284-C282-C280-C278-C276-C274-C271-C269-C267-C262-C254-C252-C250-C248-C246-C244-C242-C239-C237-C234-C229-C232-C227-C225-C222-C220-C217-C215-C213-C211-C209-C207-C205-C203-C200-C198-C196-C194-C192-C190-C182-C180-C178-C176-C174-C172-C170-C168-C166-C164-C162-C160-C158-C156-C154-C152-C148-C146-C142-C138-C136-C127-C124-C122-C115-C113-C108-C103-C99-C94-C92-C90-C85-C82-C80-C78-C75-C73-C71-C69-C67-C65-C63-C61-C59-C57-C55-C53-C51-C49-C47-C45-C43-C41-C39-C37-C35-C33-C31-C29-C27-C25-C23</f>
        <v>24752657.98</v>
      </c>
      <c r="D523" s="127">
        <f t="shared" si="59"/>
        <v>19635888</v>
      </c>
      <c r="E523" s="127">
        <f t="shared" si="59"/>
        <v>5116769.9800000004</v>
      </c>
      <c r="F523" s="127">
        <f t="shared" si="59"/>
        <v>9338759</v>
      </c>
      <c r="G523" s="127">
        <f t="shared" si="59"/>
        <v>80332</v>
      </c>
      <c r="H523" s="127">
        <f t="shared" si="59"/>
        <v>4814210</v>
      </c>
      <c r="I523" s="127">
        <f t="shared" si="59"/>
        <v>4008297</v>
      </c>
      <c r="J523" s="127">
        <f t="shared" si="59"/>
        <v>15262</v>
      </c>
      <c r="K523" s="127">
        <f t="shared" si="59"/>
        <v>420658</v>
      </c>
      <c r="L523" s="127">
        <f t="shared" si="59"/>
        <v>106316</v>
      </c>
      <c r="M523" s="127">
        <f t="shared" si="59"/>
        <v>895238</v>
      </c>
      <c r="N523" s="127">
        <f t="shared" si="59"/>
        <v>2058438</v>
      </c>
      <c r="O523" s="127">
        <f t="shared" si="59"/>
        <v>1693371</v>
      </c>
      <c r="P523" s="127">
        <f t="shared" si="59"/>
        <v>255857.22999999998</v>
      </c>
      <c r="Q523" s="240"/>
      <c r="R523" s="78"/>
      <c r="S523" s="78"/>
    </row>
    <row r="524" spans="1:16" ht="15" customHeight="1">
      <c r="A524" s="23"/>
      <c r="B524" s="240"/>
      <c r="C524" s="240"/>
      <c r="D524" s="240"/>
      <c r="E524" s="240"/>
      <c r="F524" s="240"/>
      <c r="G524" s="242"/>
      <c r="H524" s="242"/>
      <c r="I524" s="242"/>
      <c r="J524" s="204"/>
      <c r="K524" s="204"/>
      <c r="L524" s="204"/>
      <c r="M524" s="204"/>
      <c r="N524" s="204"/>
      <c r="O524" s="204"/>
      <c r="P524" s="204"/>
    </row>
    <row r="525" spans="1:16" ht="15" customHeight="1">
      <c r="A525" s="23"/>
      <c r="B525" s="284"/>
      <c r="C525" s="204"/>
      <c r="D525" s="204"/>
      <c r="E525" s="192"/>
      <c r="F525" s="204"/>
      <c r="G525" s="192"/>
      <c r="H525" s="192"/>
      <c r="I525" s="204"/>
      <c r="J525" s="204"/>
      <c r="K525" s="204"/>
      <c r="L525" s="204"/>
      <c r="M525" s="204"/>
      <c r="N525" s="204"/>
      <c r="O525" s="204"/>
      <c r="P525" s="204"/>
    </row>
    <row r="526" spans="2:16" ht="15" customHeight="1">
      <c r="B526" s="77" t="s">
        <v>172</v>
      </c>
      <c r="D526" s="78"/>
      <c r="G526" s="57"/>
      <c r="H526" s="57"/>
      <c r="I526" s="57"/>
      <c r="J526" s="57"/>
      <c r="K526" s="57"/>
      <c r="L526" s="57"/>
      <c r="M526" s="57"/>
      <c r="N526" s="57"/>
      <c r="O526" s="57"/>
      <c r="P526" s="57"/>
    </row>
    <row r="527" spans="1:16" ht="18.75">
      <c r="A527" s="77"/>
      <c r="B527" s="77"/>
      <c r="D527" s="78"/>
      <c r="E527" s="192"/>
      <c r="F527" s="192"/>
      <c r="G527" s="192"/>
      <c r="H527" s="192"/>
      <c r="I527" s="77"/>
      <c r="J527" s="77"/>
      <c r="K527" s="77"/>
      <c r="L527" s="77"/>
      <c r="M527" s="77"/>
      <c r="N527" s="77"/>
      <c r="O527" s="77"/>
      <c r="P527" s="77"/>
    </row>
    <row r="528" spans="2:16" ht="15">
      <c r="B528" s="81"/>
      <c r="C528" s="78"/>
      <c r="D528" s="78"/>
      <c r="E528" s="192"/>
      <c r="F528" s="192"/>
      <c r="G528" s="192"/>
      <c r="H528" s="192"/>
      <c r="I528" s="78"/>
      <c r="J528" s="78"/>
      <c r="K528" s="78"/>
      <c r="L528" s="78"/>
      <c r="M528" s="78"/>
      <c r="N528" s="78"/>
      <c r="O528" s="78"/>
      <c r="P528" s="78"/>
    </row>
    <row r="529" spans="2:16" ht="15">
      <c r="B529" s="81"/>
      <c r="C529" s="81"/>
      <c r="D529" s="81"/>
      <c r="E529" s="192"/>
      <c r="F529" s="192"/>
      <c r="G529" s="192"/>
      <c r="H529" s="192"/>
      <c r="I529" s="57"/>
      <c r="J529" s="57"/>
      <c r="K529" s="57"/>
      <c r="L529" s="57"/>
      <c r="M529" s="57"/>
      <c r="N529" s="57"/>
      <c r="O529" s="57"/>
      <c r="P529" s="78"/>
    </row>
    <row r="530" spans="2:16" ht="15">
      <c r="B530" s="57"/>
      <c r="D530" s="81"/>
      <c r="E530" s="192"/>
      <c r="F530" s="192"/>
      <c r="G530" s="192"/>
      <c r="H530" s="192"/>
      <c r="I530" s="57"/>
      <c r="J530" s="57"/>
      <c r="K530" s="57"/>
      <c r="L530" s="57"/>
      <c r="M530" s="57"/>
      <c r="N530" s="57"/>
      <c r="O530" s="57"/>
      <c r="P530" s="57"/>
    </row>
    <row r="531" spans="2:16" ht="15">
      <c r="B531" s="57"/>
      <c r="E531" s="192"/>
      <c r="F531" s="192"/>
      <c r="G531" s="192"/>
      <c r="H531" s="192"/>
      <c r="I531" s="57"/>
      <c r="J531" s="57"/>
      <c r="K531" s="57"/>
      <c r="L531" s="57"/>
      <c r="M531" s="57"/>
      <c r="N531" s="57"/>
      <c r="O531" s="57"/>
      <c r="P531" s="57"/>
    </row>
    <row r="532" spans="2:16" ht="15">
      <c r="B532" s="57"/>
      <c r="G532" s="57"/>
      <c r="H532" s="57"/>
      <c r="I532" s="57"/>
      <c r="J532" s="57"/>
      <c r="K532" s="57"/>
      <c r="L532" s="57"/>
      <c r="M532" s="57"/>
      <c r="N532" s="57"/>
      <c r="O532" s="57"/>
      <c r="P532" s="57"/>
    </row>
    <row r="533" spans="2:16" ht="15">
      <c r="B533" s="57"/>
      <c r="G533" s="57"/>
      <c r="H533" s="57"/>
      <c r="I533" s="57"/>
      <c r="J533" s="57"/>
      <c r="K533" s="57"/>
      <c r="L533" s="57"/>
      <c r="M533" s="57"/>
      <c r="N533" s="57"/>
      <c r="O533" s="57"/>
      <c r="P533" s="57"/>
    </row>
    <row r="534" spans="2:16" ht="15">
      <c r="B534" s="57"/>
      <c r="G534" s="78"/>
      <c r="H534" s="78"/>
      <c r="I534" s="78"/>
      <c r="J534" s="78"/>
      <c r="K534" s="78"/>
      <c r="L534" s="78"/>
      <c r="M534" s="57"/>
      <c r="N534" s="57"/>
      <c r="O534" s="57"/>
      <c r="P534" s="57"/>
    </row>
    <row r="535" spans="2:16" ht="15">
      <c r="B535" s="57"/>
      <c r="G535" s="57"/>
      <c r="H535" s="57"/>
      <c r="I535" s="57"/>
      <c r="J535" s="57"/>
      <c r="K535" s="57"/>
      <c r="L535" s="57"/>
      <c r="M535" s="57"/>
      <c r="N535" s="57"/>
      <c r="O535" s="57"/>
      <c r="P535" s="57"/>
    </row>
    <row r="536" spans="2:16" ht="15">
      <c r="B536" s="57"/>
      <c r="G536" s="57"/>
      <c r="H536" s="57"/>
      <c r="I536" s="57"/>
      <c r="J536" s="57"/>
      <c r="K536" s="57"/>
      <c r="L536" s="57"/>
      <c r="M536" s="57"/>
      <c r="N536" s="57"/>
      <c r="O536" s="57"/>
      <c r="P536" s="57"/>
    </row>
    <row r="537" spans="2:16" ht="15">
      <c r="B537" s="57"/>
      <c r="G537" s="57"/>
      <c r="H537" s="57"/>
      <c r="I537" s="57"/>
      <c r="J537" s="57"/>
      <c r="K537" s="57"/>
      <c r="L537" s="57"/>
      <c r="M537" s="57"/>
      <c r="N537" s="57"/>
      <c r="O537" s="57"/>
      <c r="P537" s="57"/>
    </row>
    <row r="538" spans="2:16" ht="15">
      <c r="B538" s="57"/>
      <c r="G538" s="57"/>
      <c r="H538" s="57"/>
      <c r="I538" s="57"/>
      <c r="J538" s="57"/>
      <c r="K538" s="57"/>
      <c r="L538" s="57"/>
      <c r="M538" s="57"/>
      <c r="N538" s="57"/>
      <c r="O538" s="57"/>
      <c r="P538" s="57"/>
    </row>
    <row r="539" spans="2:16" ht="15">
      <c r="B539" s="57"/>
      <c r="G539" s="57"/>
      <c r="H539" s="57"/>
      <c r="I539" s="57"/>
      <c r="J539" s="57"/>
      <c r="K539" s="57"/>
      <c r="L539" s="57"/>
      <c r="M539" s="57"/>
      <c r="N539" s="57"/>
      <c r="O539" s="57"/>
      <c r="P539" s="57"/>
    </row>
    <row r="540" spans="2:2" ht="15">
      <c r="B540" s="57"/>
    </row>
  </sheetData>
  <autoFilter ref="A15:P523"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</autoFilter>
  <mergeCells count="6">
    <mergeCell ref="A13:P13"/>
    <mergeCell ref="C15:P15"/>
    <mergeCell ref="A15:A17"/>
    <mergeCell ref="B15:B17"/>
    <mergeCell ref="A1:A12"/>
    <mergeCell ref="B1:E12"/>
  </mergeCells>
  <printOptions horizontalCentered="1"/>
  <pageMargins left="0.708661417322835" right="0.708661417322835" top="0.748031496062992" bottom="0.748031496062992" header="0.31496062992126" footer="0.31496062992126"/>
  <pageSetup fitToHeight="0" orientation="landscape" paperSize="9" scale="55" r:id="rId1"/>
  <headerFooter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1.pielikums</vt:lpstr>
      <vt:lpstr>2.pielikums</vt:lpstr>
      <vt:lpstr>3.pielikums</vt:lpstr>
      <vt:lpstr>4.pielikums</vt:lpstr>
    </vt:vector>
  </TitlesOfParts>
  <Template/>
  <Manager/>
  <Company>Grizli777</Company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Balvi Novads</cp:lastModifiedBy>
  <cp:lastPrinted>2024-12-10T09:02:33Z</cp:lastPrinted>
  <dcterms:created xsi:type="dcterms:W3CDTF">2014-01-31T18:56:56Z</dcterms:created>
  <dcterms:modified xsi:type="dcterms:W3CDTF">2024-12-27T07:38:57Z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