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'4.pielikums'!$A$10:$P$276</definedName>
    <definedName name="_xlnm.Print_Area" localSheetId="3">'4.pielikums'!$A$1:$P$280</definedName>
  </definedNames>
  <calcPr calcId="191029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<sst xmlns="http://schemas.openxmlformats.org/spreadsheetml/2006/main" count="1201" uniqueCount="765">
  <si>
    <t>Iestādes</t>
  </si>
  <si>
    <t>Balvu novada administrācija</t>
  </si>
  <si>
    <t>Deputātu darba samaksa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</si>
  <si>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</si>
  <si>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</si>
  <si>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</si>
  <si>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</si>
  <si>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</si>
  <si>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</si>
  <si>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</si>
  <si>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</si>
  <si>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</si>
  <si>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</si>
  <si>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</si>
  <si>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</si>
  <si>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</si>
  <si>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</si>
  <si>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</si>
  <si>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</si>
  <si>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</si>
  <si>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</si>
  <si>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</si>
  <si>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</si>
  <si>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</si>
  <si>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</si>
  <si>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</si>
  <si>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</si>
  <si>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</si>
  <si>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</si>
  <si>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</si>
  <si>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</si>
  <si>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</si>
  <si>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</si>
  <si>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</si>
  <si>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</si>
  <si>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</si>
  <si>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</si>
  <si>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</si>
  <si>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</si>
  <si>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</si>
  <si>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</si>
  <si>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</si>
  <si>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</si>
  <si>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</si>
  <si>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</si>
  <si>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</si>
  <si>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</si>
  <si>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</si>
  <si>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</si>
  <si>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</si>
  <si>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</si>
  <si>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</si>
  <si>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</si>
  <si>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</si>
  <si>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</si>
  <si>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</si>
  <si>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</si>
  <si>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</si>
  <si>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</si>
  <si>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</si>
  <si>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</si>
  <si>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</si>
  <si>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</si>
  <si>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</si>
  <si>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</si>
  <si>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</si>
  <si>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</si>
  <si>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</si>
  <si>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</si>
  <si>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</si>
  <si>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</si>
  <si>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</si>
  <si>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</si>
  <si>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</si>
  <si>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</si>
  <si>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Valsts un pašvaldības vienotais klientu apkalpošanas centrs</t>
  </si>
  <si>
    <t>Viļakas pilsētas komunālā saimniecība - apkure</t>
  </si>
  <si>
    <t>Šķilbēnu komunālā saimniecība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</si>
  <si>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</si>
  <si>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</si>
  <si>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</si>
  <si>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</si>
  <si>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</si>
  <si>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Viļakas muzejs</t>
  </si>
  <si>
    <t>Algotie pagaidu sabiedriskie darbi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</si>
  <si>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</si>
  <si>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</si>
  <si>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</si>
  <si>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</si>
  <si>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</si>
  <si>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</si>
  <si>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</si>
  <si>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</si>
  <si>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</si>
  <si>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</si>
  <si>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</si>
  <si>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</si>
  <si>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</si>
  <si>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</si>
  <si>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</si>
  <si>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</si>
  <si>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</si>
  <si>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</si>
  <si>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</si>
  <si>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</si>
  <si>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Rekavas vidusskola</t>
  </si>
  <si>
    <t>Projekts "Atbalsts izglītojamo individuālo kompetenču attīstībai"</t>
  </si>
  <si>
    <t>Viļakas pirmsskolas izglītības iestāde "Namiņš"</t>
  </si>
  <si>
    <t>Eglaines pamatskola</t>
  </si>
  <si>
    <t>Izglītības pārvalde</t>
  </si>
  <si>
    <t>Baltinavas vidusskola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</si>
  <si>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</si>
  <si>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</si>
  <si>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</si>
  <si>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</si>
  <si>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</si>
  <si>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</si>
  <si>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</si>
  <si>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</si>
  <si>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</si>
  <si>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</si>
  <si>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</si>
  <si>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</si>
  <si>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</si>
  <si>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</si>
  <si>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</si>
  <si>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</si>
  <si>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</si>
  <si>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</si>
  <si>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</si>
  <si>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</si>
  <si>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</si>
  <si>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</si>
  <si>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</si>
  <si>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</si>
  <si>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</si>
  <si>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</si>
  <si>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</si>
  <si>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</si>
  <si>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</si>
  <si>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</si>
  <si>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</si>
  <si>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</si>
  <si>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</si>
  <si>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</si>
  <si>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</si>
  <si>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</si>
  <si>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</si>
  <si>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</si>
  <si>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</si>
  <si>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</si>
  <si>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</si>
  <si>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</si>
  <si>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</si>
  <si>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</si>
  <si>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</si>
  <si>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</si>
  <si>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</si>
  <si>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</si>
  <si>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</si>
  <si>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</si>
  <si>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</si>
  <si>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</si>
  <si>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</si>
  <si>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</si>
  <si>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</si>
  <si>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</si>
  <si>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</si>
  <si>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</si>
  <si>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</si>
  <si>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Tilžas pamatskola</t>
  </si>
  <si>
    <t>Tilžas pamatskolas pirmsskolas izglītības grupas Tilžā</t>
  </si>
  <si>
    <t>Balvu novada Bērnu un jauniešu centrs</t>
  </si>
  <si>
    <t>Sociālie pabalsti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</si>
  <si>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</si>
  <si>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</si>
  <si>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</si>
  <si>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</si>
  <si>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</si>
  <si>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Kubulu komunālā saimniecība -notekūdeņu apsaimniekošana</t>
  </si>
  <si>
    <t>Bērzpils komunālā saimniecība -notekūdeņu apsaimniekošana</t>
  </si>
  <si>
    <t>Tilžas komunālā saimniecība -notekūdeņu apsaimniekošana</t>
  </si>
  <si>
    <t>Tilžas komunālā saimniecība - apkure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</si>
  <si>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</si>
  <si>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</si>
  <si>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</si>
  <si>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</si>
  <si>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</si>
  <si>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</si>
  <si>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</si>
  <si>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</si>
  <si>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</si>
  <si>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</si>
  <si>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</si>
  <si>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</si>
  <si>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</si>
  <si>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</si>
  <si>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</si>
  <si>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</si>
  <si>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</si>
  <si>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</si>
  <si>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</si>
  <si>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</si>
  <si>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</si>
  <si>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</si>
  <si>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</si>
  <si>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</si>
  <si>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</si>
  <si>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</si>
  <si>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</si>
  <si>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</si>
  <si>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</si>
  <si>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</si>
  <si>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</si>
  <si>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</si>
  <si>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</si>
  <si>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</si>
  <si>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</si>
  <si>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</si>
  <si>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</si>
  <si>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</si>
  <si>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</si>
  <si>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</si>
  <si>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</si>
  <si>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</si>
  <si>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</si>
  <si>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</si>
  <si>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</si>
  <si>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</si>
  <si>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</si>
  <si>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</si>
  <si>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</si>
  <si>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</si>
  <si>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</si>
  <si>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</si>
  <si>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</si>
  <si>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</si>
  <si>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</si>
  <si>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</si>
  <si>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</si>
  <si>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</si>
  <si>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</si>
  <si>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</si>
  <si>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</si>
  <si>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</si>
  <si>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</si>
  <si>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</si>
  <si>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</si>
  <si>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</si>
  <si>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</si>
  <si>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</si>
  <si>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</si>
  <si>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</si>
  <si>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</si>
  <si>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</si>
  <si>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</si>
  <si>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</si>
  <si>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</si>
  <si>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Rekavas komunālā saimniecība - apkure</t>
  </si>
  <si>
    <t>2.pielikums</t>
  </si>
  <si>
    <t>Ieņēmumi</t>
  </si>
  <si>
    <t>Ieņēmumu veidi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</si>
  <si>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</si>
  <si>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</si>
  <si>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</si>
  <si>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</si>
  <si>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</si>
  <si>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</si>
  <si>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</si>
  <si>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</si>
  <si>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</si>
  <si>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</si>
  <si>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</si>
  <si>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</si>
  <si>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</si>
  <si>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</si>
  <si>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</si>
  <si>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</si>
  <si>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</si>
  <si>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</si>
  <si>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</si>
  <si>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</si>
  <si>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</si>
  <si>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</si>
  <si>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</si>
  <si>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</si>
  <si>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</si>
  <si>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</si>
  <si>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</si>
  <si>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</si>
  <si>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</si>
  <si>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</si>
  <si>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</si>
  <si>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</si>
  <si>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</si>
  <si>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</si>
  <si>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</si>
  <si>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</si>
  <si>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</si>
  <si>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</si>
  <si>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</si>
  <si>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</si>
  <si>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</si>
  <si>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</si>
  <si>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</si>
  <si>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</si>
  <si>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</si>
  <si>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</si>
  <si>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</si>
  <si>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</si>
  <si>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</si>
  <si>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</si>
  <si>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</si>
  <si>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</si>
  <si>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</si>
  <si>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</si>
  <si>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</si>
  <si>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</si>
  <si>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</si>
  <si>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</si>
  <si>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</si>
  <si>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</si>
  <si>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</si>
  <si>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</si>
  <si>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</si>
  <si>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</si>
  <si>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</si>
  <si>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</si>
  <si>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</si>
  <si>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</si>
  <si>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</si>
  <si>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</si>
  <si>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</si>
  <si>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</si>
  <si>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</si>
  <si>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</si>
  <si>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</si>
  <si>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</si>
  <si>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</si>
  <si>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</si>
  <si>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</si>
  <si>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</si>
  <si>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</si>
  <si>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</si>
  <si>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</si>
  <si>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</si>
  <si>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</si>
  <si>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</si>
  <si>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</si>
  <si>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</si>
  <si>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</si>
  <si>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</si>
  <si>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</si>
  <si>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</si>
  <si>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</si>
  <si>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</si>
  <si>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</si>
  <si>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</si>
  <si>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</si>
  <si>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</si>
  <si>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</si>
  <si>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</si>
  <si>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</si>
  <si>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</si>
  <si>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</si>
  <si>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</si>
  <si>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</si>
  <si>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</si>
  <si>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</si>
  <si>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</si>
  <si>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</si>
  <si>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sporta skolai</t>
  </si>
  <si>
    <t>Valsts dotācija mūzikas un mākslas skolām</t>
  </si>
  <si>
    <t>Valsts dotācija 1.-4.klašu brīvpusdienu daļējai apmaksai</t>
  </si>
  <si>
    <t>MD māksliniecisko kolektīvu vadītāju darba samaksai un valsts sociālās apdrošināšanas obligātajām iemaksām</t>
  </si>
  <si>
    <t>Lazdukalna Saieta nams</t>
  </si>
  <si>
    <t>Vectilžas sporta un atpūtas centrs</t>
  </si>
  <si>
    <t>Valsts un pašvaldības vienotā klientu apkalpošanas centra uzturēšana</t>
  </si>
  <si>
    <t>Latvijas Skolas soma</t>
  </si>
  <si>
    <t>Skujetnieku feldšeru punkts</t>
  </si>
  <si>
    <t>LM finansējums asistenta pakalpojumiem personām ar invaliditāti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</si>
  <si>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</si>
  <si>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</si>
  <si>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</si>
  <si>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</si>
  <si>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</si>
  <si>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</si>
  <si>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</si>
  <si>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</si>
  <si>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</si>
  <si>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</si>
  <si>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</si>
  <si>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</si>
  <si>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</si>
  <si>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</si>
  <si>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</si>
  <si>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21.3.5.2.</t>
  </si>
  <si>
    <t>Ieņēmumi no vecāku maksām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</si>
  <si>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</si>
  <si>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</si>
  <si>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</si>
  <si>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</si>
  <si>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</si>
  <si>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</si>
  <si>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</si>
  <si>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</si>
  <si>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</si>
  <si>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</si>
  <si>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</si>
  <si>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</si>
  <si>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</si>
  <si>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</si>
  <si>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</si>
  <si>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</si>
  <si>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</si>
  <si>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</si>
  <si>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</si>
  <si>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</si>
  <si>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</si>
  <si>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</si>
  <si>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</si>
  <si>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</si>
  <si>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</si>
  <si>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</si>
  <si>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</si>
  <si>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</si>
  <si>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</si>
  <si>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</si>
  <si>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</si>
  <si>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</si>
  <si>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</si>
  <si>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</si>
  <si>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</si>
  <si>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</si>
  <si>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</si>
  <si>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</si>
  <si>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</si>
  <si>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</si>
  <si>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</si>
  <si>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</si>
  <si>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</si>
  <si>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</si>
  <si>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</si>
  <si>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</si>
  <si>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</si>
  <si>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Baltinavas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</si>
  <si>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</si>
  <si>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</si>
  <si>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</si>
  <si>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</si>
  <si>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</si>
  <si>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</si>
  <si>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</si>
  <si>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</si>
  <si>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</si>
  <si>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</si>
  <si>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</si>
  <si>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</si>
  <si>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</si>
  <si>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</si>
  <si>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</si>
  <si>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</si>
  <si>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</si>
  <si>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</si>
  <si>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</si>
  <si>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</si>
  <si>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</si>
  <si>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</si>
  <si>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</si>
  <si>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</si>
  <si>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</si>
  <si>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</si>
  <si>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</si>
  <si>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</si>
  <si>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</si>
  <si>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</si>
  <si>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</si>
  <si>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</si>
  <si>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</si>
  <si>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</si>
  <si>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</si>
  <si>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</si>
  <si>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</si>
  <si>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</si>
  <si>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</si>
  <si>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</si>
  <si>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</si>
  <si>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</si>
  <si>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</si>
  <si>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</si>
  <si>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</si>
  <si>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</si>
  <si>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</si>
  <si>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</si>
  <si>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</si>
  <si>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</si>
  <si>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</si>
  <si>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</si>
  <si>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</si>
  <si>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</si>
  <si>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</si>
  <si>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</si>
  <si>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</si>
  <si>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</si>
  <si>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</si>
  <si>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</si>
  <si>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</si>
  <si>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</si>
  <si>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</si>
  <si>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</si>
  <si>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</si>
  <si>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</si>
  <si>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</si>
  <si>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</si>
  <si>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</si>
  <si>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</si>
  <si>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</si>
  <si>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</si>
  <si>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</si>
  <si>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</si>
  <si>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</si>
  <si>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</si>
  <si>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</si>
  <si>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</si>
  <si>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</si>
  <si>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</si>
  <si>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</si>
  <si>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</si>
  <si>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</si>
  <si>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</si>
  <si>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</si>
  <si>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</si>
  <si>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</si>
  <si>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</si>
  <si>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</si>
  <si>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</si>
  <si>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</si>
  <si>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</si>
  <si>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</si>
  <si>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</si>
  <si>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Valsts dotācija Ukrainas civiliedzīvotāju izmitināšanas iespējām</t>
  </si>
  <si>
    <t>Ukrainas civiliedzīvotāju izmitināšanas iespējām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</si>
  <si>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</si>
  <si>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</si>
  <si>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</si>
  <si>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</si>
  <si>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</si>
  <si>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</si>
  <si>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</si>
  <si>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</si>
  <si>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</si>
  <si>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</si>
  <si>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</si>
  <si>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</si>
  <si>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</si>
  <si>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Balvu sporta skola pilsētas stadiona maksas pakalpojumu ieņēmumi</t>
  </si>
  <si>
    <t>Rekavas vidusskola pirmsskolas grupas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</si>
  <si>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</si>
  <si>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</si>
  <si>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</si>
  <si>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</si>
  <si>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</si>
  <si>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</si>
  <si>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Bērzkalnes komunālā saimniecība -notekūdeņu apsaimniekošana</t>
  </si>
  <si>
    <t>Tilžas pamatskolas Tilžas pirmsskolas grupas</t>
  </si>
  <si>
    <t>Autoceļu (ielu) uzturēšanas līdzekļu rezerves fonds</t>
  </si>
  <si>
    <t>Izdevumi periodikas iegādei bibliotēku krājumiem</t>
  </si>
  <si>
    <t>Atalgojums</t>
  </si>
  <si>
    <t>DDVSAOI</t>
  </si>
  <si>
    <t>Viļakas vidusskola</t>
  </si>
  <si>
    <t>Tehniskā aprīkojuma iegāde virssemes ūdeņu kvalitātes uzlabošanai</t>
  </si>
  <si>
    <t>Pašvaldības līdzdalības budžets</t>
  </si>
  <si>
    <t>Tehniskā aprīkojuma iegāde virszemes ūdeņu kvalitātes uzlabošanai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</si>
  <si>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</si>
  <si>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</si>
  <si>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</si>
  <si>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</si>
  <si>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</si>
  <si>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Viļakas  vidusskolas pirmsskolas grupa</t>
  </si>
  <si>
    <t xml:space="preserve">Pansionāts "Balvi" </t>
  </si>
  <si>
    <t xml:space="preserve">Tilžas pagasta komunālā saimniecība </t>
  </si>
  <si>
    <t>Projekts "Militārais mantojums II"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</si>
  <si>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</si>
  <si>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</si>
  <si>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</si>
  <si>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</si>
  <si>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</si>
  <si>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</si>
  <si>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</si>
  <si>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</si>
  <si>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</si>
  <si>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</si>
  <si>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</si>
  <si>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</si>
  <si>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</si>
  <si>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</si>
  <si>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</si>
  <si>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</si>
  <si>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</si>
  <si>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</si>
  <si>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</si>
  <si>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</si>
  <si>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</si>
  <si>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</si>
  <si>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</si>
  <si>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</si>
  <si>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</si>
  <si>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</si>
  <si>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</si>
  <si>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</si>
  <si>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 xml:space="preserve">Projekts “Remigrācijas atbalsta pasākums – uzņēmējdarbības atbalsts” </t>
  </si>
  <si>
    <t>Domes priekšsēdētājs                                                                        S.Maksimovs</t>
  </si>
  <si>
    <t>Domes priekšsēdētājs                                                                                                    S.Maksimovs</t>
  </si>
  <si>
    <t>Sociāli pakalpojumi</t>
  </si>
  <si>
    <t>21.0.0.0</t>
  </si>
  <si>
    <t>Latvijas neredzīgo biedrība</t>
  </si>
  <si>
    <t>Balvu novada domes</t>
  </si>
  <si>
    <t>Daudzfunkcionālais  sociālo pakalpojumu centrs</t>
  </si>
  <si>
    <t>Rekavas  komunālā saimniecība notekūdeņi</t>
  </si>
  <si>
    <t>Projekts "Plecu pie pleca"</t>
  </si>
  <si>
    <t>Erasmus+ Projekts 2024-1-LV01-KA121-SCH-000209869</t>
  </si>
  <si>
    <t xml:space="preserve"> JSPA Projekts  Nr.2024-1-LV02-KA154-YOU-000237997- "Dots devējam atdodas"</t>
  </si>
  <si>
    <t>Skolēnu nodarbinātība vasarā</t>
  </si>
  <si>
    <t>Valsts dotācija asistentu pakalpojumu nodrošināšanai</t>
  </si>
  <si>
    <t xml:space="preserve">    F22010000</t>
  </si>
  <si>
    <t>Nemateriālās kultūras mantojuma centrs "Upīte" - bibliotēka</t>
  </si>
  <si>
    <t>Nemateriālās kultūras mantojuma centrs "Upīte" - muzejs</t>
  </si>
  <si>
    <t>"Par Balvu novada pašvaldības 2025.gada budžetu"</t>
  </si>
  <si>
    <t>Apstiprināts 2025. gadam (EUR)</t>
  </si>
  <si>
    <t xml:space="preserve">                    Balvu novada pašvaldības pamatbudžeta ieņēmumi 2025.gadam ( EUR)</t>
  </si>
  <si>
    <t>Apstiprināts 2025.gadam (EUR)</t>
  </si>
  <si>
    <t>Stacijas  pamatskola</t>
  </si>
  <si>
    <t>Balvu pilsētas teritorijas apsaimniekošana</t>
  </si>
  <si>
    <t>Balvu muižas ēkas saimnieciskie izdevumi</t>
  </si>
  <si>
    <t>Viļakas pirmsskolas izglītības iestāde "Namiņš" Žīguru grupa</t>
  </si>
  <si>
    <t>Viļakas PII "Namiņš" Žīguru grupa</t>
  </si>
  <si>
    <t>21.3.9.4.1</t>
  </si>
  <si>
    <t>Ieņēmumi no pašvaldības dzīvojamā fonda  īres</t>
  </si>
  <si>
    <t xml:space="preserve">     Balvu novada pašvaldības 2025.gada  pamatbudžeta izdevumi atbilstoši ekonomiskajām kategorijām (EUR)</t>
  </si>
  <si>
    <t>Mērķdotācijas Eiropas Savienības ārējās robežas pašvaldībām.</t>
  </si>
  <si>
    <t>9.4.3.0.</t>
  </si>
  <si>
    <t>Valsts nodeva par uzvārda, vārda un tautības ieraksta maiņu personu apliecinošos dokumentos</t>
  </si>
  <si>
    <t>9.4.6.0.</t>
  </si>
  <si>
    <t>Valsts nodeva par speciālu atļauju (licenču) izsniegšanu</t>
  </si>
  <si>
    <t>Balvu apvienības pārvalde</t>
  </si>
  <si>
    <t>Baltinavas apvienības pārvalde</t>
  </si>
  <si>
    <t>Rugāju apvienības pārvalde</t>
  </si>
  <si>
    <t>Viļakas apvienības pārvalde</t>
  </si>
  <si>
    <t>Rugāju  apvienības pārvalde</t>
  </si>
  <si>
    <t>Baltinavas teritorijas apsaimniekošana</t>
  </si>
  <si>
    <t>Balvu novada pašvaldības pamatbudžeta izdevumi 2025.gadam (EUR)</t>
  </si>
  <si>
    <t>Bezemisiju  transportlīdzekļa iegāde skolēnu pārvadāšanai Balvu novadā</t>
  </si>
  <si>
    <t>SAM 6.1.1.3 Uzņēmējdarbības veicināšanai nepieciešamās publiskās infrastruktūras kvalitātes uzlabošana Balvos SAM</t>
  </si>
  <si>
    <t>SAM 5.1.1.1  Publiskās infrastruktūras kvalitātes uzlabošana uzņēmējdarbības atbalstam Balvos</t>
  </si>
  <si>
    <t>Upju un ezeru krastu stiprināšanas pasākumi-paskaidrojuma raksti, atzinumi prioritārajām upēm un ezeriem</t>
  </si>
  <si>
    <t xml:space="preserve">Balvu valsts ģimnāzijas projekts "Ecological thinking within our minds" </t>
  </si>
  <si>
    <t>Balvu valsts ģimnāzijas projekts "EcoQuest: Exploring Sustainable Living in Every Step"</t>
  </si>
  <si>
    <t>Balvu valsts ģimnāzijas projekts "Our Baltic Sea"NPJR-2024/10114</t>
  </si>
  <si>
    <t>Rugāju vidusskolas Erasmus+ Projekts 2024-1-LV01-KA121-SCH-000209869</t>
  </si>
  <si>
    <t>Ielu apgaismojums Viļakas pilsētā</t>
  </si>
  <si>
    <t>Susāju pagasta komunālā saimniecība</t>
  </si>
  <si>
    <t>Žīguru pagasta komunālā saimniecība</t>
  </si>
  <si>
    <t>Medņevas pagasta  komunālā saimniecība</t>
  </si>
  <si>
    <t>Lazdulejas pagasta komunālā saimniecība.</t>
  </si>
  <si>
    <t>Baltinavas pagasta komunālā saimniecība</t>
  </si>
  <si>
    <t>Rugāju pagasta komunālā saimniecība(veļas māja)</t>
  </si>
  <si>
    <t>Baltinavas pagasta komunālā saimniecība(veļas māja)</t>
  </si>
  <si>
    <t>Viļakas pilsētas komunālā saimniecība</t>
  </si>
  <si>
    <t>Balvu ielas posma seguma atjaunošana un ūdens atvades sistēmas sakārtošanai Kubulu pagastā</t>
  </si>
  <si>
    <t>Bērzkalnes  pagasta ūdensapgāde</t>
  </si>
  <si>
    <t>Bērzpils  pagasta ūdensapgāde</t>
  </si>
  <si>
    <t>Briežuciema  pagasta ūdensapgāde</t>
  </si>
  <si>
    <t>Krišjāņu  pagasta ūdensapgāde</t>
  </si>
  <si>
    <t>Kubulu  pagasta ūdensapgāde</t>
  </si>
  <si>
    <t>Kupravas  pagasta ūdensapgāde</t>
  </si>
  <si>
    <t>Lazdulejas  pagasta ūdensapgāde</t>
  </si>
  <si>
    <t>Medņevas  pagasta ūdensapgāde</t>
  </si>
  <si>
    <t>Rekavas  ciema ūdensapgāde</t>
  </si>
  <si>
    <t>Šķilbēnu  pagasta ūdensapgāde</t>
  </si>
  <si>
    <t>Tilžas  pagasta ūdensapgāde</t>
  </si>
  <si>
    <t>Upītes ciema  ūdensapgāde</t>
  </si>
  <si>
    <t>Vectilžas  pagasta ūdensapgāde</t>
  </si>
  <si>
    <t>Vecumu  pagasta ūdensapgāde</t>
  </si>
  <si>
    <t>Viļakas pilsētas  ūdensapgāde</t>
  </si>
  <si>
    <t>Vīksnas  pagasta ūdensapgāde</t>
  </si>
  <si>
    <t xml:space="preserve"> Žīguru  pagasta ūdensapgāde</t>
  </si>
  <si>
    <t>Rekavas ciema ūdensapgāde</t>
  </si>
  <si>
    <t>Viļakas pilsētas ūdensapgāde</t>
  </si>
  <si>
    <t>Upītes  pagasta ūdensapgāde</t>
  </si>
  <si>
    <t>Krišjāņu pagasta ūdensapgāde</t>
  </si>
  <si>
    <t>Lazdukalna  pagasta ūdensapgāde</t>
  </si>
  <si>
    <t>Rugāju  pagasta ūdensapgāde</t>
  </si>
  <si>
    <t>Upītes  ciema ūdensapgāde</t>
  </si>
  <si>
    <t>Žīguru  pagasta ūdensapgāde</t>
  </si>
  <si>
    <t>Baltinavas pagasta notekūdeņu apsaimniekošana</t>
  </si>
  <si>
    <t>Bērzkalnes pagasta notekūdeņu apsaimniekošana</t>
  </si>
  <si>
    <t>Bērzpils pagasta notekūdeņu apsaimniekošana</t>
  </si>
  <si>
    <t>Briežuciema pagasta notekūdeņu apsaimniekošana</t>
  </si>
  <si>
    <t>Kubulu pagasta notekūdeņu apsaimniekošana</t>
  </si>
  <si>
    <t>Kupravas pagasta notekūdeņu apsaimniekošana</t>
  </si>
  <si>
    <t>Krišjāņu pagasta notekūdeņu apsaimniekošana</t>
  </si>
  <si>
    <t>Lazdukalna pagasta notekūdeņu apsaimniekošana</t>
  </si>
  <si>
    <t>Lazdulejas pagasta notekūdeņu apsaimniekošana</t>
  </si>
  <si>
    <t>Medņevas pagasta notekūdeņu apsaimniekošana</t>
  </si>
  <si>
    <t>Rugāju pagasta notekūdeņu apsaimniekošana</t>
  </si>
  <si>
    <t>Viļakas pilsētas notekūdeņu apsaimniekošana</t>
  </si>
  <si>
    <t>Vīksnas pagasta notekūdeņu apsaimniekošana</t>
  </si>
  <si>
    <t>Žīguru pagasta notekūdeņu apsaimniekošana</t>
  </si>
  <si>
    <t>Viļakas pilsētas atkritumu apsaimniekošana</t>
  </si>
  <si>
    <t>Žīguru pagasta komunālā saimniecība - apkure</t>
  </si>
  <si>
    <t>Balvu novada teritorijas plānojuma izstrāde</t>
  </si>
  <si>
    <t>Projekts "Atbalsta pasākumu cilvēkiem ar invaliditāti mājokļu vides pieejamības nodrošināšanā Balvu novadā"</t>
  </si>
  <si>
    <t xml:space="preserve">XIII Latvijas Skolu jaunatnes dziesmu un deju svētki </t>
  </si>
  <si>
    <t>Projekts "Sociālo mājokļu atjaunošana vai jauno sociālo mājokļu būvniecība Balvu novadā"</t>
  </si>
  <si>
    <t>Vides pieejamības nodrošināšana Balvu novada publisko pakalpojumu ēkās</t>
  </si>
  <si>
    <t>Valsts sociālās apdrošināšanas obligātās iemaksas no nepilnām likmēm</t>
  </si>
  <si>
    <t xml:space="preserve"> Naudas līdzekļu atlikums gada sākumā</t>
  </si>
  <si>
    <t xml:space="preserve"> Naudas līdzekļu atlikums perioda beigās</t>
  </si>
  <si>
    <t xml:space="preserve">    F21010000 AS</t>
  </si>
  <si>
    <t xml:space="preserve">    F21010000</t>
  </si>
  <si>
    <t>Projekts "Sabiedrības digitālo prasmju attīstība"</t>
  </si>
  <si>
    <t>Projekts "Esi vesels Balvu novadā!"</t>
  </si>
  <si>
    <t>LL-00303 “Robotikas
un dronu konstruēšanas un pilotēšanas kompetenču kā sociālās iekļaušanas metodes
attīstība Latgales, Visaginas un Ignalinas pārrobežu reģionos”</t>
  </si>
  <si>
    <t>LL-00303 projekts “Robotikas
un dronu konstruēšanas un pilotēšanas kompetenču kā sociālās iekļaušanas metodes
attīstība Latgales, Visaginas un Ignalinas pārrobežu reģionos”</t>
  </si>
  <si>
    <t>Pedagogu atlīdzības valsts finansējuma rezerves fonds</t>
  </si>
  <si>
    <t>Valsts un pašvaldības vienotā klientu apkalpošanas centru izveidei</t>
  </si>
  <si>
    <t>Balvu profesionālās un vispārizglītojošās vidusskolas Erasmus+ projekts "Iekļaujoša profesionālā izglītība" 2024-1-LVKA122-VET-000241233</t>
  </si>
  <si>
    <t>Balvu Valsts ģimnāzijas Nord+ projekts "Ecological thinking within our minds"</t>
  </si>
  <si>
    <t>Viļakas vidusskolas Erasmus+ projekts "SEED"</t>
  </si>
  <si>
    <t>Valsts dotācija - kompensācija pašvaldību finanšu izlīdzināšanas sistēmā pēc iedzīvotāju ienākuma nodokļa sadales principiem</t>
  </si>
  <si>
    <t xml:space="preserve">Balvu sporta skolas pasākumi novadā </t>
  </si>
  <si>
    <t>Labklājības ministrijas finansējums sociālajiem pakalpojumiem - atbalsts bārēņiem un bērniem ar invaliditāti</t>
  </si>
  <si>
    <t>Labklājības ministrija- izdevumu kompensācija par no vardarbības cietušu pieaugušu personu rehabilitāciju
dzīvesvietā</t>
  </si>
  <si>
    <t>Erasmus + projekts Play, Learn, Act, Ensure Sustainable Development Viļakas vidusskola</t>
  </si>
  <si>
    <t>Projekts  Nr.2024-1-LV02-KA154-YOU-000237997- "Dots devējam atdodas" Rugāju vidusskola</t>
  </si>
  <si>
    <t>Akcijas un cita līdzdalība komersantu pašu kapitālā, neskaitot kopieguldījumu fondu akcijas, un ieguldījumi starptautisko organizāciju kapitālā (iegāde)</t>
  </si>
  <si>
    <t>F55 01 00 10</t>
  </si>
  <si>
    <t>Fonds "Sibīrijas bērni"</t>
  </si>
  <si>
    <t>Biedrība "Sudraba pakavi"</t>
  </si>
  <si>
    <t>Pašvaldības īpašumu atsavināšanas rezultātā  iegūto līdzekļu sadales daļa</t>
  </si>
  <si>
    <t>Finansējums nevalstiskajām organizācijām projektu īstenošanai</t>
  </si>
  <si>
    <t>Balvu novada pašvaldības pamatbudžets 2025.gadam ( EUR)</t>
  </si>
  <si>
    <t>9 Starptaustiskais mākslas plenērs "Valdis Bušs 2025"</t>
  </si>
  <si>
    <t>Alternatīvās ūdensapgādes sistēmas izbūve Liepu ielā, Balvos</t>
  </si>
  <si>
    <t>Izglītības iestāžu datortehnikas iegāde</t>
  </si>
  <si>
    <t>Vīksnas pagasta ūdensapgāde</t>
  </si>
  <si>
    <t>Žīguru pagasta ūdensapgāde</t>
  </si>
  <si>
    <t>Upītes feldšeru veselības punkts</t>
  </si>
  <si>
    <t>Kupravas feldšeru veselības punkts</t>
  </si>
  <si>
    <t>Krišjānu feldšeru veselības punkts</t>
  </si>
  <si>
    <t>Krišjāņu pagasta komunālā saimniecība - apkure</t>
  </si>
  <si>
    <t>Kupravas pagasta komunālā saimniecība - apkure</t>
  </si>
  <si>
    <t>Rekavas pagasta komunālā saimniecība - apkure</t>
  </si>
  <si>
    <t>Tilžas pagasta komunālā saimniecība - apkure</t>
  </si>
  <si>
    <t>Vecumu pagasta komunālā saimniecība - apkure</t>
  </si>
  <si>
    <t xml:space="preserve"> Rekavas pagasta komunālā saimniecība - apkure</t>
  </si>
  <si>
    <t xml:space="preserve">Vispārējie pamatbudžeta ieņēmumi (EUR) </t>
  </si>
  <si>
    <t xml:space="preserve">Maksas pakalpojumi un pašu ieņēmumi (EUR) </t>
  </si>
  <si>
    <t>Valsts mērķdotācijas (EUR)</t>
  </si>
  <si>
    <t>KOPĀ (EUR)</t>
  </si>
  <si>
    <t>Centrālā bibliotēka dotācija pielāgotās literatūras bibliotēkas darbinieka darba algai un saimnieciskajiem izdevumiem</t>
  </si>
  <si>
    <t>Feldšeru veselības punktu dotācija</t>
  </si>
  <si>
    <t>2025.gada 30.janvāra saistošajiem noteikumiem Nr.4/2025</t>
  </si>
  <si>
    <t>2025.gada  30.janvāra saistošajiem noteikumiem Nr.4/2025</t>
  </si>
  <si>
    <t>2025.gada 30.janvāra  saistošajiem noteikumiem Nr.4/2025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</si>
</sst>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2"/>
      <color rgb="FF41414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9">
    <xf numFmtId="0" fontId="0" fillId="0" borderId="0" xfId="0"/>
    <xf numFmtId="0" fontId="11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3" fontId="12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3" fontId="13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wrapText="1"/>
    </xf>
    <xf numFmtId="3" fontId="12" fillId="2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3" fontId="12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/>
    <xf numFmtId="3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3" fontId="3" fillId="0" borderId="1" xfId="18" applyFont="1" applyFill="1" applyBorder="1" applyAlignment="1">
      <alignment horizontal="center" vertical="top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3" fillId="0" borderId="0" xfId="0" applyFont="1"/>
    <xf numFmtId="1" fontId="8" fillId="0" borderId="0" xfId="0" applyNumberFormat="1" applyFont="1"/>
    <xf numFmtId="0" fontId="9" fillId="0" borderId="1" xfId="0" applyFont="1" applyBorder="1" applyAlignment="1">
      <alignment horizontal="center"/>
    </xf>
    <xf numFmtId="0" fontId="24" fillId="0" borderId="0" xfId="0" applyFont="1"/>
    <xf numFmtId="3" fontId="8" fillId="0" borderId="0" xfId="0" applyNumberFormat="1" applyFont="1"/>
    <xf numFmtId="0" fontId="11" fillId="0" borderId="1" xfId="0" applyFont="1" applyBorder="1" applyAlignment="1">
      <alignment horizontal="center" vertical="top"/>
    </xf>
    <xf numFmtId="0" fontId="17" fillId="0" borderId="0" xfId="0" applyFont="1"/>
    <xf numFmtId="0" fontId="20" fillId="0" borderId="0" xfId="0" applyFont="1"/>
    <xf numFmtId="0" fontId="21" fillId="0" borderId="0" xfId="0" applyFont="1"/>
    <xf numFmtId="3" fontId="2" fillId="2" borderId="1" xfId="0" applyNumberFormat="1" applyFont="1" applyFill="1" applyBorder="1"/>
    <xf numFmtId="3" fontId="25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3" fontId="11" fillId="2" borderId="1" xfId="0" applyNumberFormat="1" applyFont="1" applyFill="1" applyBorder="1"/>
    <xf numFmtId="3" fontId="9" fillId="2" borderId="1" xfId="0" applyNumberFormat="1" applyFont="1" applyFill="1" applyBorder="1"/>
    <xf numFmtId="3" fontId="19" fillId="0" borderId="0" xfId="0" applyNumberFormat="1" applyFont="1"/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3" fontId="18" fillId="2" borderId="1" xfId="0" applyNumberFormat="1" applyFont="1" applyFill="1" applyBorder="1"/>
    <xf numFmtId="0" fontId="8" fillId="2" borderId="0" xfId="0" applyFont="1" applyFill="1"/>
    <xf numFmtId="0" fontId="2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3" fontId="7" fillId="2" borderId="0" xfId="0" applyNumberFormat="1" applyFont="1" applyFill="1" applyAlignment="1">
      <alignment vertical="top"/>
    </xf>
    <xf numFmtId="3" fontId="27" fillId="2" borderId="1" xfId="0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/>
    </xf>
    <xf numFmtId="0" fontId="27" fillId="2" borderId="6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8" fillId="2" borderId="1" xfId="0" applyFont="1" applyFill="1" applyBorder="1"/>
    <xf numFmtId="49" fontId="11" fillId="2" borderId="1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3" fontId="13" fillId="0" borderId="0" xfId="0" applyNumberFormat="1" applyFont="1"/>
    <xf numFmtId="3" fontId="7" fillId="2" borderId="7" xfId="0" applyNumberFormat="1" applyFont="1" applyFill="1" applyBorder="1" applyAlignment="1">
      <alignment vertical="top"/>
    </xf>
    <xf numFmtId="3" fontId="13" fillId="0" borderId="8" xfId="0" applyNumberFormat="1" applyFont="1" applyBorder="1" applyAlignment="1">
      <alignment wrapText="1"/>
    </xf>
    <xf numFmtId="0" fontId="11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wrapText="1"/>
    </xf>
    <xf numFmtId="3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3" fontId="3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horizontal="center"/>
    </xf>
    <xf numFmtId="3" fontId="11" fillId="2" borderId="9" xfId="0" applyNumberFormat="1" applyFont="1" applyFill="1" applyBorder="1"/>
    <xf numFmtId="3" fontId="9" fillId="2" borderId="9" xfId="0" applyNumberFormat="1" applyFont="1" applyFill="1" applyBorder="1"/>
    <xf numFmtId="3" fontId="18" fillId="2" borderId="9" xfId="0" applyNumberFormat="1" applyFont="1" applyFill="1" applyBorder="1"/>
    <xf numFmtId="3" fontId="2" fillId="2" borderId="9" xfId="0" applyNumberFormat="1" applyFont="1" applyFill="1" applyBorder="1"/>
    <xf numFmtId="0" fontId="6" fillId="0" borderId="0" xfId="0" applyFont="1"/>
    <xf numFmtId="0" fontId="6" fillId="0" borderId="2" xfId="0" applyFont="1" applyBorder="1"/>
    <xf numFmtId="0" fontId="28" fillId="2" borderId="1" xfId="0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3" fontId="16" fillId="0" borderId="0" xfId="0" applyNumberFormat="1" applyFont="1"/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22" fillId="2" borderId="0" xfId="0" applyFont="1" applyFill="1"/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wrapText="1"/>
    </xf>
    <xf numFmtId="3" fontId="9" fillId="2" borderId="6" xfId="0" applyNumberFormat="1" applyFont="1" applyFill="1" applyBorder="1" applyAlignment="1">
      <alignment horizontal="center" wrapText="1"/>
    </xf>
    <xf numFmtId="3" fontId="9" fillId="2" borderId="10" xfId="0" applyNumberFormat="1" applyFont="1" applyFill="1" applyBorder="1" applyAlignment="1">
      <alignment horizontal="center" wrapText="1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vertical="top"/>
    </xf>
    <xf numFmtId="1" fontId="7" fillId="2" borderId="0" xfId="0" applyNumberFormat="1" applyFont="1" applyFill="1" applyAlignment="1">
      <alignment vertical="top" wrapText="1"/>
    </xf>
    <xf numFmtId="1" fontId="8" fillId="2" borderId="0" xfId="0" applyNumberFormat="1" applyFont="1" applyFill="1"/>
    <xf numFmtId="0" fontId="27" fillId="2" borderId="4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3" fontId="17" fillId="0" borderId="0" xfId="0" applyNumberFormat="1" applyFont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2" xfId="0" applyFont="1" applyFill="1" applyBorder="1"/>
    <xf numFmtId="0" fontId="6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3" fontId="23" fillId="2" borderId="0" xfId="0" applyNumberFormat="1" applyFont="1" applyFill="1"/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6" fillId="2" borderId="1" xfId="0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vertical="center" wrapText="1"/>
    </xf>
    <xf numFmtId="0" fontId="10" fillId="2" borderId="0" xfId="0" applyFont="1" applyFill="1"/>
    <xf numFmtId="0" fontId="27" fillId="2" borderId="6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0" fontId="27" fillId="0" borderId="1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0" borderId="0" xfId="0" applyFont="1"/>
    <xf numFmtId="0" fontId="9" fillId="0" borderId="1" xfId="0" applyFont="1" applyBorder="1" applyAlignment="1">
      <alignment vertical="top" wrapText="1"/>
    </xf>
    <xf numFmtId="3" fontId="27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3" fontId="0" fillId="2" borderId="0" xfId="0" applyNumberFormat="1" applyFill="1"/>
    <xf numFmtId="3" fontId="4" fillId="0" borderId="0" xfId="0" applyNumberFormat="1" applyFont="1"/>
    <xf numFmtId="0" fontId="22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 wrapText="1"/>
    </xf>
    <xf numFmtId="0" fontId="11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0" fillId="0" borderId="1" xfId="0" applyFont="1" applyBorder="1"/>
    <xf numFmtId="0" fontId="2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3" fontId="2" fillId="0" borderId="1" xfId="0" applyNumberFormat="1" applyFont="1" applyBorder="1"/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8" Type="http://schemas.openxmlformats.org/officeDocument/2006/relationships/calcChain" Target="calcChain.xml" /><Relationship Id="rId7" Type="http://schemas.openxmlformats.org/officeDocument/2006/relationships/sharedStrings" Target="sharedStrings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6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workbookViewId="0" topLeftCell="A1">
      <selection pane="topLeft" activeCell="F6" sqref="F6"/>
    </sheetView>
  </sheetViews>
  <sheetFormatPr defaultColWidth="9.14428571428571" defaultRowHeight="15.75"/>
  <cols>
    <col min="1" max="1" width="65.7142857142857" style="18" customWidth="1"/>
    <col min="2" max="3" width="13.8571428571429" style="18" customWidth="1"/>
    <col min="4" max="4" width="11.2857142857143" style="18" bestFit="1" customWidth="1"/>
    <col min="5" max="5" width="10.1428571428571" style="18" bestFit="1" customWidth="1"/>
    <col min="6" max="16384" width="9.14285714285714" style="18"/>
  </cols>
  <sheetData>
    <row r="1" spans="1:7" ht="15.75">
      <c r="A1" s="17"/>
      <c r="C1" s="17"/>
      <c r="D1" s="19"/>
      <c r="E1" s="19"/>
      <c r="F1" s="19"/>
      <c r="G1" s="19"/>
    </row>
    <row r="2" spans="1:7" ht="15.75">
      <c r="A2" s="17"/>
      <c r="C2" s="86" t="s">
        <v>468</v>
      </c>
      <c r="D2" s="19"/>
      <c r="E2" s="19"/>
      <c r="F2" s="19"/>
      <c r="G2" s="19"/>
    </row>
    <row r="3" spans="1:10" ht="15.75">
      <c r="A3" s="17"/>
      <c r="C3" s="87" t="s">
        <v>616</v>
      </c>
      <c r="D3" s="19"/>
      <c r="E3" s="19"/>
      <c r="F3" s="19"/>
      <c r="G3" s="19"/>
      <c r="H3" s="17"/>
      <c r="I3" s="17"/>
      <c r="J3" s="17"/>
    </row>
    <row r="4" spans="1:7" ht="15.75">
      <c r="A4" s="17"/>
      <c r="B4" s="16"/>
      <c r="C4" s="87" t="s">
        <v>763</v>
      </c>
      <c r="D4" s="19"/>
      <c r="E4" s="19"/>
      <c r="F4" s="19"/>
      <c r="G4" s="19"/>
    </row>
    <row r="5" spans="3:3" s="19" customFormat="1" ht="15" customHeight="1">
      <c r="C5" s="87" t="s">
        <v>627</v>
      </c>
    </row>
    <row r="6" spans="3:3" s="19" customFormat="1" ht="15" customHeight="1">
      <c r="C6" s="115"/>
    </row>
    <row r="7" spans="1:3" s="19" customFormat="1" ht="15" customHeight="1">
      <c r="A7" s="12" t="s">
        <v>741</v>
      </c>
      <c r="B7" s="12"/>
      <c r="C7" s="12"/>
    </row>
    <row r="8" spans="3:3" s="19" customFormat="1" ht="15" customHeight="1">
      <c r="C8" s="20"/>
    </row>
    <row r="9" spans="1:3" s="19" customFormat="1" ht="52.5" customHeight="1">
      <c r="A9" s="21" t="s">
        <v>469</v>
      </c>
      <c r="B9" s="21" t="s">
        <v>470</v>
      </c>
      <c r="C9" s="22" t="s">
        <v>628</v>
      </c>
    </row>
    <row r="10" spans="1:4" s="19" customFormat="1" ht="30" customHeight="1">
      <c r="A10" s="23" t="s">
        <v>471</v>
      </c>
      <c r="B10" s="24"/>
      <c r="C10" s="25">
        <f>C11+C13+C15+C19+C22+C24+C26+C29+C31+C33+C35+C17</f>
        <v>37186267</v>
      </c>
      <c r="D10" s="107"/>
    </row>
    <row r="11" spans="1:3" s="26" customFormat="1" ht="15" customHeight="1">
      <c r="A11" s="24" t="s">
        <v>266</v>
      </c>
      <c r="B11" s="24" t="s">
        <v>265</v>
      </c>
      <c r="C11" s="25">
        <f>C12</f>
        <v>11412338</v>
      </c>
    </row>
    <row r="12" spans="1:3" s="19" customFormat="1" ht="15" customHeight="1">
      <c r="A12" s="27" t="s">
        <v>472</v>
      </c>
      <c r="B12" s="28" t="s">
        <v>473</v>
      </c>
      <c r="C12" s="29">
        <f>'2.pielikums'!F15</f>
        <v>11412338</v>
      </c>
    </row>
    <row r="13" spans="1:3" s="19" customFormat="1" ht="15" customHeight="1">
      <c r="A13" s="30" t="s">
        <v>271</v>
      </c>
      <c r="B13" s="30" t="s">
        <v>270</v>
      </c>
      <c r="C13" s="31">
        <f>C14</f>
        <v>1068791</v>
      </c>
    </row>
    <row r="14" spans="1:3" s="19" customFormat="1" ht="15" customHeight="1">
      <c r="A14" s="32" t="s">
        <v>474</v>
      </c>
      <c r="B14" s="33" t="s">
        <v>475</v>
      </c>
      <c r="C14" s="34">
        <f>'2.pielikums'!F18</f>
        <v>1068791</v>
      </c>
    </row>
    <row r="15" spans="1:3" s="19" customFormat="1" ht="15" customHeight="1">
      <c r="A15" s="30" t="s">
        <v>476</v>
      </c>
      <c r="B15" s="30" t="s">
        <v>293</v>
      </c>
      <c r="C15" s="31">
        <f>C16</f>
        <v>57000</v>
      </c>
    </row>
    <row r="16" spans="1:3" s="19" customFormat="1" ht="15" customHeight="1">
      <c r="A16" s="32" t="s">
        <v>477</v>
      </c>
      <c r="B16" s="33" t="s">
        <v>478</v>
      </c>
      <c r="C16" s="34">
        <f>'2.pielikums'!F29</f>
        <v>57000</v>
      </c>
    </row>
    <row r="17" spans="1:3" s="19" customFormat="1" ht="15" customHeight="1">
      <c r="A17" s="30" t="s">
        <v>479</v>
      </c>
      <c r="B17" s="30" t="s">
        <v>304</v>
      </c>
      <c r="C17" s="31">
        <f>C18</f>
        <v>6600</v>
      </c>
    </row>
    <row r="18" spans="1:3" s="19" customFormat="1" ht="30" customHeight="1">
      <c r="A18" s="32" t="s">
        <v>307</v>
      </c>
      <c r="B18" s="33" t="s">
        <v>306</v>
      </c>
      <c r="C18" s="34">
        <f>'2.pielikums'!F36</f>
        <v>6600</v>
      </c>
    </row>
    <row r="19" spans="1:3" s="19" customFormat="1" ht="15" customHeight="1">
      <c r="A19" s="30" t="s">
        <v>309</v>
      </c>
      <c r="B19" s="30" t="s">
        <v>308</v>
      </c>
      <c r="C19" s="31">
        <f>C20+C21</f>
        <v>15585</v>
      </c>
    </row>
    <row r="20" spans="1:3" s="19" customFormat="1" ht="15" customHeight="1">
      <c r="A20" s="32" t="s">
        <v>480</v>
      </c>
      <c r="B20" s="33" t="s">
        <v>481</v>
      </c>
      <c r="C20" s="34">
        <f>'2.pielikums'!F38</f>
        <v>11185</v>
      </c>
    </row>
    <row r="21" spans="1:3" s="19" customFormat="1" ht="15" customHeight="1">
      <c r="A21" s="32" t="s">
        <v>482</v>
      </c>
      <c r="B21" s="33" t="s">
        <v>483</v>
      </c>
      <c r="C21" s="34">
        <f>'2.pielikums'!F45</f>
        <v>4400</v>
      </c>
    </row>
    <row r="22" spans="1:3" s="19" customFormat="1" ht="15" customHeight="1">
      <c r="A22" s="30" t="s">
        <v>333</v>
      </c>
      <c r="B22" s="30" t="s">
        <v>332</v>
      </c>
      <c r="C22" s="31">
        <f>C23</f>
        <v>2000</v>
      </c>
    </row>
    <row r="23" spans="1:3" s="19" customFormat="1" ht="15" customHeight="1">
      <c r="A23" s="32" t="s">
        <v>484</v>
      </c>
      <c r="B23" s="33" t="s">
        <v>485</v>
      </c>
      <c r="C23" s="34">
        <f>'2.pielikums'!F51</f>
        <v>2000</v>
      </c>
    </row>
    <row r="24" spans="1:3" s="19" customFormat="1" ht="15" customHeight="1">
      <c r="A24" s="30" t="s">
        <v>341</v>
      </c>
      <c r="B24" s="30" t="s">
        <v>340</v>
      </c>
      <c r="C24" s="31">
        <f>C25</f>
        <v>44659</v>
      </c>
    </row>
    <row r="25" spans="1:3" s="19" customFormat="1" ht="15" customHeight="1">
      <c r="A25" s="35" t="s">
        <v>486</v>
      </c>
      <c r="B25" s="33" t="s">
        <v>487</v>
      </c>
      <c r="C25" s="34">
        <f>'2.pielikums'!F55</f>
        <v>44659</v>
      </c>
    </row>
    <row r="26" spans="1:3" s="19" customFormat="1" ht="30" customHeight="1">
      <c r="A26" s="30" t="s">
        <v>488</v>
      </c>
      <c r="B26" s="30" t="s">
        <v>348</v>
      </c>
      <c r="C26" s="31">
        <f>C27+C28</f>
        <v>530000</v>
      </c>
    </row>
    <row r="27" spans="1:3" s="19" customFormat="1" ht="15" customHeight="1">
      <c r="A27" s="32" t="s">
        <v>489</v>
      </c>
      <c r="B27" s="36" t="s">
        <v>490</v>
      </c>
      <c r="C27" s="34">
        <f>'2.pielikums'!F65</f>
        <v>30000</v>
      </c>
    </row>
    <row r="28" spans="1:3" s="19" customFormat="1" ht="15" customHeight="1">
      <c r="A28" s="32" t="s">
        <v>491</v>
      </c>
      <c r="B28" s="36" t="s">
        <v>492</v>
      </c>
      <c r="C28" s="34">
        <f>'2.pielikums'!F66</f>
        <v>500000</v>
      </c>
    </row>
    <row r="29" spans="1:3" s="19" customFormat="1" ht="30" customHeight="1">
      <c r="A29" s="30" t="s">
        <v>493</v>
      </c>
      <c r="B29" s="30" t="s">
        <v>358</v>
      </c>
      <c r="C29" s="31">
        <f>C30</f>
        <v>8000</v>
      </c>
    </row>
    <row r="30" spans="1:3" s="19" customFormat="1" ht="15" customHeight="1">
      <c r="A30" s="32" t="s">
        <v>494</v>
      </c>
      <c r="B30" s="33" t="s">
        <v>495</v>
      </c>
      <c r="C30" s="34">
        <f>'2.pielikums'!F69</f>
        <v>8000</v>
      </c>
    </row>
    <row r="31" spans="1:3" s="19" customFormat="1" ht="15" customHeight="1">
      <c r="A31" s="30" t="s">
        <v>496</v>
      </c>
      <c r="B31" s="30" t="s">
        <v>361</v>
      </c>
      <c r="C31" s="31">
        <f>C32</f>
        <v>18261306</v>
      </c>
    </row>
    <row r="32" spans="1:3" s="19" customFormat="1" ht="15" customHeight="1">
      <c r="A32" s="32" t="s">
        <v>497</v>
      </c>
      <c r="B32" s="33" t="s">
        <v>498</v>
      </c>
      <c r="C32" s="34">
        <f>'2.pielikums'!F71</f>
        <v>18261306</v>
      </c>
    </row>
    <row r="33" spans="1:3" s="19" customFormat="1" ht="15" customHeight="1">
      <c r="A33" s="30" t="s">
        <v>549</v>
      </c>
      <c r="B33" s="30" t="s">
        <v>550</v>
      </c>
      <c r="C33" s="31">
        <f>C34</f>
        <v>150000</v>
      </c>
    </row>
    <row r="34" spans="1:3" s="19" customFormat="1" ht="15" customHeight="1">
      <c r="A34" s="32" t="s">
        <v>551</v>
      </c>
      <c r="B34" s="33" t="s">
        <v>552</v>
      </c>
      <c r="C34" s="34">
        <f>'2.pielikums'!F119</f>
        <v>150000</v>
      </c>
    </row>
    <row r="35" spans="1:3" s="19" customFormat="1" ht="15" customHeight="1">
      <c r="A35" s="30" t="s">
        <v>499</v>
      </c>
      <c r="B35" s="30" t="s">
        <v>500</v>
      </c>
      <c r="C35" s="31">
        <f>SUM(C36:C37)</f>
        <v>5629988</v>
      </c>
    </row>
    <row r="36" spans="1:3" s="19" customFormat="1" ht="30" customHeight="1">
      <c r="A36" s="32" t="s">
        <v>501</v>
      </c>
      <c r="B36" s="33" t="s">
        <v>502</v>
      </c>
      <c r="C36" s="34">
        <f>'2.pielikums'!F122</f>
        <v>5624988</v>
      </c>
    </row>
    <row r="37" spans="1:3" s="19" customFormat="1" ht="30" customHeight="1">
      <c r="A37" s="32" t="s">
        <v>503</v>
      </c>
      <c r="B37" s="33" t="s">
        <v>504</v>
      </c>
      <c r="C37" s="34">
        <f>'2.pielikums'!F393</f>
        <v>5000</v>
      </c>
    </row>
    <row r="38" spans="1:4" s="19" customFormat="1" ht="30" customHeight="1">
      <c r="A38" s="37" t="s">
        <v>505</v>
      </c>
      <c r="B38" s="30" t="s">
        <v>506</v>
      </c>
      <c r="C38" s="38">
        <f>C39</f>
        <v>38791444.780000001</v>
      </c>
      <c r="D38" s="107"/>
    </row>
    <row r="39" spans="1:4" s="19" customFormat="1" ht="30" customHeight="1">
      <c r="A39" s="39" t="s">
        <v>507</v>
      </c>
      <c r="B39" s="40"/>
      <c r="C39" s="38">
        <f>SUM(C40:C48)</f>
        <v>38791444.780000001</v>
      </c>
      <c r="D39" s="107"/>
    </row>
    <row r="40" spans="1:4" s="19" customFormat="1" ht="15" customHeight="1">
      <c r="A40" s="30" t="s">
        <v>194</v>
      </c>
      <c r="B40" s="30" t="s">
        <v>193</v>
      </c>
      <c r="C40" s="38">
        <f>'3.pielikums'!H12</f>
        <v>3592922</v>
      </c>
      <c r="D40" s="107"/>
    </row>
    <row r="41" spans="1:4" s="19" customFormat="1" ht="15" customHeight="1">
      <c r="A41" s="30" t="s">
        <v>196</v>
      </c>
      <c r="B41" s="30" t="s">
        <v>195</v>
      </c>
      <c r="C41" s="38">
        <f>'3.pielikums'!H27</f>
        <v>399619</v>
      </c>
      <c r="D41" s="107"/>
    </row>
    <row r="42" spans="1:4" s="19" customFormat="1" ht="15" customHeight="1">
      <c r="A42" s="30" t="s">
        <v>198</v>
      </c>
      <c r="B42" s="30" t="s">
        <v>197</v>
      </c>
      <c r="C42" s="38">
        <f>'3.pielikums'!H31</f>
        <v>4448377.78</v>
      </c>
      <c r="D42" s="107"/>
    </row>
    <row r="43" spans="1:4" s="19" customFormat="1" ht="15" customHeight="1">
      <c r="A43" s="30" t="s">
        <v>203</v>
      </c>
      <c r="B43" s="30" t="s">
        <v>202</v>
      </c>
      <c r="C43" s="38">
        <f>'3.pielikums'!H66</f>
        <v>242675</v>
      </c>
      <c r="D43" s="107"/>
    </row>
    <row r="44" spans="1:4" s="19" customFormat="1" ht="15" customHeight="1">
      <c r="A44" s="30" t="s">
        <v>508</v>
      </c>
      <c r="B44" s="30" t="s">
        <v>204</v>
      </c>
      <c r="C44" s="38">
        <f>'3.pielikums'!H89</f>
        <v>6000023</v>
      </c>
      <c r="D44" s="107"/>
    </row>
    <row r="45" spans="1:4" s="19" customFormat="1" ht="15" customHeight="1">
      <c r="A45" s="30" t="s">
        <v>211</v>
      </c>
      <c r="B45" s="30" t="s">
        <v>210</v>
      </c>
      <c r="C45" s="38">
        <f>'3.pielikums'!H155</f>
        <v>159758</v>
      </c>
      <c r="D45" s="107"/>
    </row>
    <row r="46" spans="1:4" s="19" customFormat="1" ht="15" customHeight="1">
      <c r="A46" s="30" t="s">
        <v>509</v>
      </c>
      <c r="B46" s="30" t="s">
        <v>220</v>
      </c>
      <c r="C46" s="38">
        <f>'3.pielikums'!H166</f>
        <v>2614324</v>
      </c>
      <c r="D46" s="107"/>
    </row>
    <row r="47" spans="1:4" s="19" customFormat="1" ht="15" customHeight="1">
      <c r="A47" s="30" t="s">
        <v>234</v>
      </c>
      <c r="B47" s="30" t="s">
        <v>233</v>
      </c>
      <c r="C47" s="38">
        <f>'3.pielikums'!H209</f>
        <v>14774635</v>
      </c>
      <c r="D47" s="107"/>
    </row>
    <row r="48" spans="1:4" s="19" customFormat="1" ht="15" customHeight="1">
      <c r="A48" s="30" t="s">
        <v>247</v>
      </c>
      <c r="B48" s="30" t="s">
        <v>246</v>
      </c>
      <c r="C48" s="38">
        <f>'3.pielikums'!H275</f>
        <v>6559111</v>
      </c>
      <c r="D48" s="107"/>
    </row>
    <row r="49" spans="1:4" s="19" customFormat="1" ht="30" customHeight="1">
      <c r="A49" s="39" t="s">
        <v>510</v>
      </c>
      <c r="B49" s="40"/>
      <c r="C49" s="31">
        <f>SUM(C50:C56)</f>
        <v>38791444.780000001</v>
      </c>
      <c r="D49" s="109"/>
    </row>
    <row r="50" spans="1:4" s="19" customFormat="1" ht="15" customHeight="1">
      <c r="A50" s="30" t="s">
        <v>511</v>
      </c>
      <c r="B50" s="30" t="s">
        <v>512</v>
      </c>
      <c r="C50" s="31">
        <f>'4.pielikums'!C276</f>
        <v>22152890</v>
      </c>
      <c r="D50" s="109"/>
    </row>
    <row r="51" spans="1:4" s="19" customFormat="1" ht="15" customHeight="1">
      <c r="A51" s="30" t="s">
        <v>70</v>
      </c>
      <c r="B51" s="30" t="s">
        <v>513</v>
      </c>
      <c r="C51" s="31">
        <f>'4.pielikums'!F276</f>
        <v>8919847</v>
      </c>
      <c r="D51" s="109"/>
    </row>
    <row r="52" spans="1:4" s="19" customFormat="1" ht="15" customHeight="1">
      <c r="A52" s="30" t="s">
        <v>71</v>
      </c>
      <c r="B52" s="30" t="s">
        <v>514</v>
      </c>
      <c r="C52" s="31">
        <f>'4.pielikums'!L276</f>
        <v>130554</v>
      </c>
      <c r="D52" s="109"/>
    </row>
    <row r="53" spans="1:4" s="19" customFormat="1" ht="15" customHeight="1">
      <c r="A53" s="30" t="s">
        <v>515</v>
      </c>
      <c r="B53" s="30" t="s">
        <v>516</v>
      </c>
      <c r="C53" s="31">
        <f>'4.pielikums'!M276</f>
        <v>786459</v>
      </c>
      <c r="D53" s="109"/>
    </row>
    <row r="54" spans="1:4" s="19" customFormat="1" ht="15" customHeight="1">
      <c r="A54" s="30" t="s">
        <v>73</v>
      </c>
      <c r="B54" s="30" t="s">
        <v>517</v>
      </c>
      <c r="C54" s="31">
        <f>'4.pielikums'!N276</f>
        <v>4859567</v>
      </c>
      <c r="D54" s="109"/>
    </row>
    <row r="55" spans="1:4" s="19" customFormat="1" ht="15" customHeight="1">
      <c r="A55" s="30" t="s">
        <v>173</v>
      </c>
      <c r="B55" s="30" t="s">
        <v>518</v>
      </c>
      <c r="C55" s="31">
        <f>'4.pielikums'!O276</f>
        <v>1838163</v>
      </c>
      <c r="D55" s="109"/>
    </row>
    <row r="56" spans="1:4" s="19" customFormat="1" ht="30" customHeight="1">
      <c r="A56" s="30" t="s">
        <v>519</v>
      </c>
      <c r="B56" s="30" t="s">
        <v>520</v>
      </c>
      <c r="C56" s="31">
        <f>'4.pielikums'!P276</f>
        <v>103964.78</v>
      </c>
      <c r="D56" s="109"/>
    </row>
    <row r="57" spans="1:3" s="19" customFormat="1" ht="30" customHeight="1">
      <c r="A57" s="41"/>
      <c r="B57" s="41"/>
      <c r="C57" s="42"/>
    </row>
    <row r="58" spans="1:3" s="19" customFormat="1" ht="15" customHeight="1">
      <c r="A58" s="37" t="s">
        <v>521</v>
      </c>
      <c r="B58" s="30" t="s">
        <v>506</v>
      </c>
      <c r="C58" s="31">
        <f>C10-C38</f>
        <v>-1605177.7800000012</v>
      </c>
    </row>
    <row r="59" spans="1:5" s="19" customFormat="1" ht="23.25" customHeight="1">
      <c r="A59" s="37" t="s">
        <v>522</v>
      </c>
      <c r="B59" s="30" t="s">
        <v>506</v>
      </c>
      <c r="C59" s="38">
        <f>C60+C67-C70</f>
        <v>1605178</v>
      </c>
      <c r="D59" s="107"/>
      <c r="E59" s="107"/>
    </row>
    <row r="60" spans="1:3" s="43" customFormat="1" ht="15" customHeight="1">
      <c r="A60" s="30" t="s">
        <v>523</v>
      </c>
      <c r="B60" s="30" t="s">
        <v>524</v>
      </c>
      <c r="C60" s="38">
        <f>C61+C64</f>
        <v>3055076</v>
      </c>
    </row>
    <row r="61" spans="1:4" s="44" customFormat="1" ht="15" customHeight="1">
      <c r="A61" s="30" t="s">
        <v>525</v>
      </c>
      <c r="B61" s="30" t="s">
        <v>526</v>
      </c>
      <c r="C61" s="38">
        <f>C62-C63</f>
        <v>7176</v>
      </c>
      <c r="D61" s="126"/>
    </row>
    <row r="62" spans="1:4" s="44" customFormat="1" ht="15" customHeight="1">
      <c r="A62" s="30" t="s">
        <v>716</v>
      </c>
      <c r="B62" s="30" t="s">
        <v>718</v>
      </c>
      <c r="C62" s="38">
        <v>8196</v>
      </c>
      <c r="D62" s="126"/>
    </row>
    <row r="63" spans="1:4" s="44" customFormat="1" ht="15" customHeight="1">
      <c r="A63" s="30" t="s">
        <v>717</v>
      </c>
      <c r="B63" s="30" t="s">
        <v>719</v>
      </c>
      <c r="C63" s="38">
        <v>1020</v>
      </c>
      <c r="D63" s="126"/>
    </row>
    <row r="64" spans="1:3" s="45" customFormat="1" ht="15" customHeight="1">
      <c r="A64" s="30" t="s">
        <v>527</v>
      </c>
      <c r="B64" s="30" t="s">
        <v>528</v>
      </c>
      <c r="C64" s="38">
        <f>C65-C66</f>
        <v>3047900</v>
      </c>
    </row>
    <row r="65" spans="1:3" s="19" customFormat="1" ht="15" customHeight="1">
      <c r="A65" s="30" t="s">
        <v>529</v>
      </c>
      <c r="B65" s="30" t="s">
        <v>530</v>
      </c>
      <c r="C65" s="38">
        <v>4036030</v>
      </c>
    </row>
    <row r="66" spans="1:5" s="19" customFormat="1" ht="30" customHeight="1">
      <c r="A66" s="30" t="s">
        <v>531</v>
      </c>
      <c r="B66" s="30" t="s">
        <v>624</v>
      </c>
      <c r="C66" s="38">
        <v>988130</v>
      </c>
      <c r="D66" s="184"/>
      <c r="E66" s="184"/>
    </row>
    <row r="67" spans="1:4" s="19" customFormat="1" ht="15" customHeight="1">
      <c r="A67" s="30" t="s">
        <v>192</v>
      </c>
      <c r="B67" s="30" t="s">
        <v>532</v>
      </c>
      <c r="C67" s="38">
        <f>C68-C69</f>
        <v>-1446898</v>
      </c>
      <c r="D67" s="193"/>
    </row>
    <row r="68" spans="1:3" s="19" customFormat="1" ht="15" customHeight="1">
      <c r="A68" s="30" t="s">
        <v>533</v>
      </c>
      <c r="B68" s="30" t="s">
        <v>537</v>
      </c>
      <c r="C68" s="38">
        <f>22142+112152+190180+201262+69853+370280+57764</f>
        <v>1023633</v>
      </c>
    </row>
    <row r="69" spans="1:3" s="19" customFormat="1" ht="15" customHeight="1">
      <c r="A69" s="30" t="s">
        <v>534</v>
      </c>
      <c r="B69" s="30" t="s">
        <v>535</v>
      </c>
      <c r="C69" s="46">
        <v>2470531</v>
      </c>
    </row>
    <row r="70" spans="1:3" ht="47.25">
      <c r="A70" s="209" t="s">
        <v>735</v>
      </c>
      <c r="B70" s="210" t="s">
        <v>736</v>
      </c>
      <c r="C70" s="14">
        <v>3000</v>
      </c>
    </row>
    <row r="71" spans="1:1" ht="15.75">
      <c r="A71" s="208"/>
    </row>
    <row r="72" spans="1:1" ht="15.75">
      <c r="A72" s="208"/>
    </row>
    <row r="74" spans="1:1" ht="18.75">
      <c r="A74" s="58" t="s">
        <v>611</v>
      </c>
    </row>
  </sheetData>
  <mergeCells count="1">
    <mergeCell ref="A7:C7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7"/>
  <sheetViews>
    <sheetView workbookViewId="0" topLeftCell="A1">
      <pane xSplit="2" ySplit="11" topLeftCell="C81" activePane="bottomRight" state="frozen"/>
      <selection pane="topLeft" activeCell="A1" sqref="A1"/>
      <selection pane="bottomLeft" activeCell="A12" sqref="A12"/>
      <selection pane="topRight" activeCell="C1" sqref="C1"/>
      <selection pane="bottomRight" activeCell="F5" sqref="F5"/>
    </sheetView>
  </sheetViews>
  <sheetFormatPr defaultColWidth="9.14428571428571" defaultRowHeight="15"/>
  <cols>
    <col min="1" max="1" width="14.2857142857143" style="97" customWidth="1"/>
    <col min="2" max="2" width="48.2857142857143" style="97" customWidth="1"/>
    <col min="3" max="3" width="15.1428571428571" style="97" customWidth="1"/>
    <col min="4" max="4" width="15.7142857142857" style="97" customWidth="1"/>
    <col min="5" max="5" width="14.4285714285714" style="97" customWidth="1"/>
    <col min="6" max="6" width="15.7142857142857" style="97" customWidth="1"/>
    <col min="7" max="7" width="12.4285714285714" style="55" customWidth="1"/>
    <col min="8" max="8" width="9.14285714285714" style="55"/>
    <col min="9" max="9" width="9.85714285714286" style="55" bestFit="1" customWidth="1"/>
    <col min="10" max="16384" width="9.14285714285714" style="55"/>
  </cols>
  <sheetData>
    <row r="1" spans="2:6" s="0" customFormat="1" ht="9" customHeight="1">
      <c r="B1" s="85"/>
      <c r="C1" s="85"/>
      <c r="D1" s="85"/>
      <c r="E1" s="85"/>
      <c r="F1" s="85"/>
    </row>
    <row r="2" spans="2:6" s="0" customFormat="1" ht="12.6" customHeight="1">
      <c r="B2" s="85"/>
      <c r="C2" s="85"/>
      <c r="D2" s="85"/>
      <c r="E2" s="85"/>
      <c r="F2" s="85"/>
    </row>
    <row r="3" spans="2:6" s="0" customFormat="1" ht="15.75">
      <c r="B3" s="85"/>
      <c r="C3" s="85"/>
      <c r="D3" s="85"/>
      <c r="E3" s="85"/>
      <c r="F3" s="86" t="s">
        <v>259</v>
      </c>
    </row>
    <row r="4" spans="2:6" s="0" customFormat="1" ht="15.75">
      <c r="B4" s="85"/>
      <c r="C4" s="85"/>
      <c r="D4" s="85"/>
      <c r="E4" s="85"/>
      <c r="F4" s="87" t="s">
        <v>616</v>
      </c>
    </row>
    <row r="5" spans="2:6" s="0" customFormat="1" ht="15.75">
      <c r="B5" s="85"/>
      <c r="C5" s="85"/>
      <c r="D5" s="85"/>
      <c r="E5" s="85"/>
      <c r="F5" s="87" t="s">
        <v>762</v>
      </c>
    </row>
    <row r="6" spans="2:6" s="0" customFormat="1" ht="15.75" customHeight="1">
      <c r="B6" s="85"/>
      <c r="C6" s="85"/>
      <c r="D6" s="85"/>
      <c r="E6" s="85"/>
      <c r="F6" s="87" t="s">
        <v>627</v>
      </c>
    </row>
    <row r="7" spans="2:6" s="0" customFormat="1" ht="15.75" customHeight="1">
      <c r="B7" s="85"/>
      <c r="C7" s="85"/>
      <c r="D7" s="85"/>
      <c r="E7" s="85"/>
      <c r="F7" s="147"/>
    </row>
    <row r="8" spans="1:6" s="0" customFormat="1" ht="15.75" customHeight="1">
      <c r="A8" s="120" t="s">
        <v>629</v>
      </c>
      <c r="B8" s="148"/>
      <c r="C8" s="148"/>
      <c r="D8" s="148"/>
      <c r="E8" s="85"/>
      <c r="F8" s="85"/>
    </row>
    <row r="9" spans="1:6" s="0" customFormat="1" ht="15.75" customHeight="1">
      <c r="A9" s="121"/>
      <c r="B9" s="149"/>
      <c r="C9" s="148"/>
      <c r="D9" s="148"/>
      <c r="E9" s="148"/>
      <c r="F9" s="148"/>
    </row>
    <row r="10" spans="1:6" ht="15" customHeight="1">
      <c r="A10" s="11" t="s">
        <v>185</v>
      </c>
      <c r="B10" s="10" t="s">
        <v>260</v>
      </c>
      <c r="C10" s="9" t="s">
        <v>261</v>
      </c>
      <c r="D10" s="9"/>
      <c r="E10" s="9"/>
      <c r="F10" s="11" t="s">
        <v>759</v>
      </c>
    </row>
    <row r="11" spans="1:6" ht="64.5" customHeight="1">
      <c r="A11" s="11"/>
      <c r="B11" s="10"/>
      <c r="C11" s="218" t="s">
        <v>756</v>
      </c>
      <c r="D11" s="218" t="s">
        <v>757</v>
      </c>
      <c r="E11" s="218" t="s">
        <v>758</v>
      </c>
      <c r="F11" s="11"/>
    </row>
    <row r="12" spans="1:9" ht="15" customHeight="1">
      <c r="A12" s="98" t="s">
        <v>262</v>
      </c>
      <c r="B12" s="71" t="s">
        <v>263</v>
      </c>
      <c r="C12" s="73">
        <f>C14+C17+C29+C37+C51+C64+C55+C35</f>
        <v>13136973</v>
      </c>
      <c r="D12" s="73">
        <f>D119+D122+D393+D55</f>
        <v>5779988</v>
      </c>
      <c r="E12" s="73">
        <f>E119+E71+E69</f>
        <v>18269306</v>
      </c>
      <c r="F12" s="73">
        <f>F14+F17+F29+F35+F37+F51+F55+F64+F69+F71+F119+F121</f>
        <v>37186267</v>
      </c>
      <c r="G12" s="75"/>
      <c r="H12" s="75"/>
      <c r="I12" s="75"/>
    </row>
    <row r="13" spans="1:6" ht="15" customHeight="1">
      <c r="A13" s="71">
        <v>1</v>
      </c>
      <c r="B13" s="71" t="s">
        <v>264</v>
      </c>
      <c r="C13" s="73">
        <f>C14+C17+C29</f>
        <v>12538129</v>
      </c>
      <c r="D13" s="74"/>
      <c r="E13" s="117"/>
      <c r="F13" s="73">
        <f t="shared" si="0" ref="F13:F29">C13</f>
        <v>12538129</v>
      </c>
    </row>
    <row r="14" spans="1:7" ht="15" customHeight="1">
      <c r="A14" s="71" t="s">
        <v>265</v>
      </c>
      <c r="B14" s="71" t="s">
        <v>266</v>
      </c>
      <c r="C14" s="73">
        <f>C15</f>
        <v>11412338</v>
      </c>
      <c r="D14" s="74"/>
      <c r="E14" s="117"/>
      <c r="F14" s="73">
        <f t="shared" si="0"/>
        <v>11412338</v>
      </c>
      <c r="G14" s="75"/>
    </row>
    <row r="15" spans="1:6" ht="15" customHeight="1">
      <c r="A15" s="71" t="s">
        <v>267</v>
      </c>
      <c r="B15" s="71" t="s">
        <v>268</v>
      </c>
      <c r="C15" s="73">
        <f>C16</f>
        <v>11412338</v>
      </c>
      <c r="D15" s="74"/>
      <c r="E15" s="117"/>
      <c r="F15" s="73">
        <f t="shared" si="0"/>
        <v>11412338</v>
      </c>
    </row>
    <row r="16" spans="1:6" ht="15" customHeight="1">
      <c r="A16" s="99" t="s">
        <v>269</v>
      </c>
      <c r="B16" s="70" t="s">
        <v>268</v>
      </c>
      <c r="C16" s="74">
        <v>11412338</v>
      </c>
      <c r="D16" s="74"/>
      <c r="E16" s="117"/>
      <c r="F16" s="74">
        <f t="shared" si="0"/>
        <v>11412338</v>
      </c>
    </row>
    <row r="17" spans="1:7" ht="15" customHeight="1">
      <c r="A17" s="100" t="s">
        <v>270</v>
      </c>
      <c r="B17" s="71" t="s">
        <v>271</v>
      </c>
      <c r="C17" s="73">
        <f>C18</f>
        <v>1068791</v>
      </c>
      <c r="D17" s="74"/>
      <c r="E17" s="117"/>
      <c r="F17" s="73">
        <f t="shared" si="0"/>
        <v>1068791</v>
      </c>
      <c r="G17" s="75"/>
    </row>
    <row r="18" spans="1:6" ht="15" customHeight="1">
      <c r="A18" s="71" t="s">
        <v>272</v>
      </c>
      <c r="B18" s="71" t="s">
        <v>273</v>
      </c>
      <c r="C18" s="73">
        <f>C19+C22+C26</f>
        <v>1068791</v>
      </c>
      <c r="D18" s="74"/>
      <c r="E18" s="117"/>
      <c r="F18" s="73">
        <f t="shared" si="0"/>
        <v>1068791</v>
      </c>
    </row>
    <row r="19" spans="1:6" ht="15" customHeight="1">
      <c r="A19" s="71" t="s">
        <v>274</v>
      </c>
      <c r="B19" s="71" t="s">
        <v>275</v>
      </c>
      <c r="C19" s="73">
        <f>C20+C21</f>
        <v>927358</v>
      </c>
      <c r="D19" s="74"/>
      <c r="E19" s="117"/>
      <c r="F19" s="73">
        <f t="shared" si="0"/>
        <v>927358</v>
      </c>
    </row>
    <row r="20" spans="1:6" ht="30" customHeight="1">
      <c r="A20" s="70" t="s">
        <v>276</v>
      </c>
      <c r="B20" s="69" t="s">
        <v>277</v>
      </c>
      <c r="C20" s="74">
        <v>837358</v>
      </c>
      <c r="D20" s="74"/>
      <c r="E20" s="117"/>
      <c r="F20" s="74">
        <f t="shared" si="0"/>
        <v>837358</v>
      </c>
    </row>
    <row r="21" spans="1:6" ht="30" customHeight="1">
      <c r="A21" s="70" t="s">
        <v>278</v>
      </c>
      <c r="B21" s="69" t="s">
        <v>279</v>
      </c>
      <c r="C21" s="74">
        <v>90000</v>
      </c>
      <c r="D21" s="74"/>
      <c r="E21" s="117"/>
      <c r="F21" s="74">
        <f t="shared" si="0"/>
        <v>90000</v>
      </c>
    </row>
    <row r="22" spans="1:6" ht="15" customHeight="1">
      <c r="A22" s="71" t="s">
        <v>280</v>
      </c>
      <c r="B22" s="71" t="s">
        <v>281</v>
      </c>
      <c r="C22" s="73">
        <f>C23+C25</f>
        <v>85579</v>
      </c>
      <c r="D22" s="74"/>
      <c r="E22" s="117"/>
      <c r="F22" s="73">
        <f t="shared" si="0"/>
        <v>85579</v>
      </c>
    </row>
    <row r="23" spans="1:6" ht="30" customHeight="1">
      <c r="A23" s="70" t="s">
        <v>282</v>
      </c>
      <c r="B23" s="69" t="s">
        <v>283</v>
      </c>
      <c r="C23" s="74">
        <v>80579</v>
      </c>
      <c r="D23" s="74"/>
      <c r="E23" s="117"/>
      <c r="F23" s="74">
        <f t="shared" si="0"/>
        <v>80579</v>
      </c>
    </row>
    <row r="24" spans="1:6" ht="15" customHeight="1">
      <c r="A24" s="70"/>
      <c r="B24" s="69" t="s">
        <v>284</v>
      </c>
      <c r="C24" s="74">
        <v>4275</v>
      </c>
      <c r="D24" s="74"/>
      <c r="E24" s="117"/>
      <c r="F24" s="74">
        <f t="shared" si="0"/>
        <v>4275</v>
      </c>
    </row>
    <row r="25" spans="1:6" ht="30" customHeight="1">
      <c r="A25" s="70" t="s">
        <v>285</v>
      </c>
      <c r="B25" s="69" t="s">
        <v>286</v>
      </c>
      <c r="C25" s="74">
        <v>5000</v>
      </c>
      <c r="D25" s="74"/>
      <c r="E25" s="117"/>
      <c r="F25" s="74">
        <f t="shared" si="0"/>
        <v>5000</v>
      </c>
    </row>
    <row r="26" spans="1:6" ht="15" customHeight="1">
      <c r="A26" s="71" t="s">
        <v>287</v>
      </c>
      <c r="B26" s="72" t="s">
        <v>288</v>
      </c>
      <c r="C26" s="73">
        <f>C27+C28</f>
        <v>55854</v>
      </c>
      <c r="D26" s="74"/>
      <c r="E26" s="117"/>
      <c r="F26" s="73">
        <f t="shared" si="0"/>
        <v>55854</v>
      </c>
    </row>
    <row r="27" spans="1:6" ht="30" customHeight="1">
      <c r="A27" s="70" t="s">
        <v>289</v>
      </c>
      <c r="B27" s="69" t="s">
        <v>290</v>
      </c>
      <c r="C27" s="74">
        <v>45854</v>
      </c>
      <c r="D27" s="74"/>
      <c r="E27" s="117"/>
      <c r="F27" s="74">
        <f t="shared" si="0"/>
        <v>45854</v>
      </c>
    </row>
    <row r="28" spans="1:6" ht="30" customHeight="1">
      <c r="A28" s="70" t="s">
        <v>291</v>
      </c>
      <c r="B28" s="69" t="s">
        <v>292</v>
      </c>
      <c r="C28" s="74">
        <v>10000</v>
      </c>
      <c r="D28" s="74"/>
      <c r="E28" s="117"/>
      <c r="F28" s="74">
        <f t="shared" si="0"/>
        <v>10000</v>
      </c>
    </row>
    <row r="29" spans="1:7" ht="30" customHeight="1">
      <c r="A29" s="71" t="s">
        <v>293</v>
      </c>
      <c r="B29" s="72" t="s">
        <v>294</v>
      </c>
      <c r="C29" s="73">
        <f>C30+C32</f>
        <v>57000</v>
      </c>
      <c r="D29" s="74"/>
      <c r="E29" s="117"/>
      <c r="F29" s="73">
        <f t="shared" si="0"/>
        <v>57000</v>
      </c>
      <c r="G29" s="75"/>
    </row>
    <row r="30" spans="1:6" ht="30" customHeight="1">
      <c r="A30" s="71" t="s">
        <v>295</v>
      </c>
      <c r="B30" s="72" t="s">
        <v>296</v>
      </c>
      <c r="C30" s="73">
        <f>C31</f>
        <v>7000</v>
      </c>
      <c r="D30" s="74"/>
      <c r="E30" s="117"/>
      <c r="F30" s="73">
        <f>F31</f>
        <v>7000</v>
      </c>
    </row>
    <row r="31" spans="1:6" ht="15" customHeight="1">
      <c r="A31" s="70" t="s">
        <v>297</v>
      </c>
      <c r="B31" s="70" t="s">
        <v>298</v>
      </c>
      <c r="C31" s="74">
        <v>7000</v>
      </c>
      <c r="D31" s="74"/>
      <c r="E31" s="117"/>
      <c r="F31" s="74">
        <f>C31</f>
        <v>7000</v>
      </c>
    </row>
    <row r="32" spans="1:6" ht="30" customHeight="1">
      <c r="A32" s="71" t="s">
        <v>299</v>
      </c>
      <c r="B32" s="72" t="s">
        <v>300</v>
      </c>
      <c r="C32" s="73">
        <f>C33</f>
        <v>50000</v>
      </c>
      <c r="D32" s="73"/>
      <c r="E32" s="116"/>
      <c r="F32" s="73">
        <f>F33</f>
        <v>50000</v>
      </c>
    </row>
    <row r="33" spans="1:6" ht="15" customHeight="1">
      <c r="A33" s="70" t="s">
        <v>301</v>
      </c>
      <c r="B33" s="70" t="s">
        <v>302</v>
      </c>
      <c r="C33" s="74">
        <v>50000</v>
      </c>
      <c r="D33" s="74"/>
      <c r="E33" s="117"/>
      <c r="F33" s="74">
        <f>C33</f>
        <v>50000</v>
      </c>
    </row>
    <row r="34" spans="1:6" ht="15" customHeight="1">
      <c r="A34" s="71">
        <v>2</v>
      </c>
      <c r="B34" s="71" t="s">
        <v>303</v>
      </c>
      <c r="C34" s="73">
        <f>C37+C51+C55+C64+C35</f>
        <v>598844</v>
      </c>
      <c r="D34" s="74"/>
      <c r="E34" s="117"/>
      <c r="F34" s="73">
        <f>C34</f>
        <v>598844</v>
      </c>
    </row>
    <row r="35" spans="1:7" ht="15" customHeight="1">
      <c r="A35" s="71" t="s">
        <v>304</v>
      </c>
      <c r="B35" s="71" t="s">
        <v>305</v>
      </c>
      <c r="C35" s="73">
        <f>C36</f>
        <v>6600</v>
      </c>
      <c r="D35" s="73"/>
      <c r="E35" s="116"/>
      <c r="F35" s="73">
        <f>F36</f>
        <v>6600</v>
      </c>
      <c r="G35" s="75"/>
    </row>
    <row r="36" spans="1:6" ht="30" customHeight="1">
      <c r="A36" s="70" t="s">
        <v>306</v>
      </c>
      <c r="B36" s="69" t="s">
        <v>307</v>
      </c>
      <c r="C36" s="74">
        <v>6600</v>
      </c>
      <c r="D36" s="74"/>
      <c r="E36" s="117"/>
      <c r="F36" s="74">
        <f t="shared" si="1" ref="F36:F56">C36</f>
        <v>6600</v>
      </c>
    </row>
    <row r="37" spans="1:7" s="64" customFormat="1" ht="30" customHeight="1">
      <c r="A37" s="71" t="s">
        <v>308</v>
      </c>
      <c r="B37" s="72" t="s">
        <v>309</v>
      </c>
      <c r="C37" s="73">
        <f>C38+C45</f>
        <v>15585</v>
      </c>
      <c r="D37" s="73"/>
      <c r="E37" s="116"/>
      <c r="F37" s="73">
        <f t="shared" si="1"/>
        <v>15585</v>
      </c>
      <c r="G37" s="146"/>
    </row>
    <row r="38" spans="1:6" s="64" customFormat="1" ht="15" customHeight="1">
      <c r="A38" s="71" t="s">
        <v>310</v>
      </c>
      <c r="B38" s="72" t="s">
        <v>311</v>
      </c>
      <c r="C38" s="73">
        <f>C39+C41+C43+C40+C42</f>
        <v>11185</v>
      </c>
      <c r="D38" s="73"/>
      <c r="E38" s="116"/>
      <c r="F38" s="73">
        <f t="shared" si="1"/>
        <v>11185</v>
      </c>
    </row>
    <row r="39" spans="1:6" ht="30" customHeight="1">
      <c r="A39" s="70" t="s">
        <v>312</v>
      </c>
      <c r="B39" s="69" t="s">
        <v>313</v>
      </c>
      <c r="C39" s="74">
        <v>9000</v>
      </c>
      <c r="D39" s="74"/>
      <c r="E39" s="117"/>
      <c r="F39" s="74">
        <f t="shared" si="1"/>
        <v>9000</v>
      </c>
    </row>
    <row r="40" spans="1:6" ht="30" customHeight="1">
      <c r="A40" s="70" t="s">
        <v>640</v>
      </c>
      <c r="B40" s="69" t="s">
        <v>641</v>
      </c>
      <c r="C40" s="74">
        <v>300</v>
      </c>
      <c r="D40" s="74"/>
      <c r="E40" s="117"/>
      <c r="F40" s="74">
        <f t="shared" si="1"/>
        <v>300</v>
      </c>
    </row>
    <row r="41" spans="1:6" ht="30" customHeight="1">
      <c r="A41" s="70" t="s">
        <v>314</v>
      </c>
      <c r="B41" s="69" t="s">
        <v>315</v>
      </c>
      <c r="C41" s="74">
        <v>1400</v>
      </c>
      <c r="D41" s="74"/>
      <c r="E41" s="117"/>
      <c r="F41" s="74">
        <f t="shared" si="1"/>
        <v>1400</v>
      </c>
    </row>
    <row r="42" spans="1:6" ht="18" customHeight="1">
      <c r="A42" s="70" t="s">
        <v>642</v>
      </c>
      <c r="B42" s="113" t="s">
        <v>643</v>
      </c>
      <c r="C42" s="74">
        <v>285</v>
      </c>
      <c r="D42" s="74"/>
      <c r="E42" s="117"/>
      <c r="F42" s="74">
        <f t="shared" si="1"/>
        <v>285</v>
      </c>
    </row>
    <row r="43" spans="1:6" ht="30" customHeight="1">
      <c r="A43" s="70" t="s">
        <v>316</v>
      </c>
      <c r="B43" s="69" t="s">
        <v>317</v>
      </c>
      <c r="C43" s="74">
        <f>C44</f>
        <v>200</v>
      </c>
      <c r="D43" s="74"/>
      <c r="E43" s="117"/>
      <c r="F43" s="74">
        <f t="shared" si="1"/>
        <v>200</v>
      </c>
    </row>
    <row r="44" spans="1:6" ht="15" customHeight="1">
      <c r="A44" s="70" t="s">
        <v>318</v>
      </c>
      <c r="B44" s="69" t="s">
        <v>319</v>
      </c>
      <c r="C44" s="74">
        <v>200</v>
      </c>
      <c r="D44" s="74"/>
      <c r="E44" s="117"/>
      <c r="F44" s="74">
        <f t="shared" si="1"/>
        <v>200</v>
      </c>
    </row>
    <row r="45" spans="1:6" ht="15" customHeight="1">
      <c r="A45" s="71" t="s">
        <v>320</v>
      </c>
      <c r="B45" s="71" t="s">
        <v>321</v>
      </c>
      <c r="C45" s="73">
        <f>C46+C47+C48+C49+C50</f>
        <v>4400</v>
      </c>
      <c r="D45" s="74"/>
      <c r="E45" s="117"/>
      <c r="F45" s="73">
        <f t="shared" si="1"/>
        <v>4400</v>
      </c>
    </row>
    <row r="46" spans="1:6" ht="30" customHeight="1">
      <c r="A46" s="70" t="s">
        <v>322</v>
      </c>
      <c r="B46" s="69" t="s">
        <v>323</v>
      </c>
      <c r="C46" s="74">
        <v>100</v>
      </c>
      <c r="D46" s="74"/>
      <c r="E46" s="117"/>
      <c r="F46" s="74">
        <f t="shared" si="1"/>
        <v>100</v>
      </c>
    </row>
    <row r="47" spans="1:6" ht="15" customHeight="1">
      <c r="A47" s="70" t="s">
        <v>324</v>
      </c>
      <c r="B47" s="69" t="s">
        <v>325</v>
      </c>
      <c r="C47" s="74">
        <v>1100</v>
      </c>
      <c r="D47" s="74"/>
      <c r="E47" s="117"/>
      <c r="F47" s="74">
        <f t="shared" si="1"/>
        <v>1100</v>
      </c>
    </row>
    <row r="48" spans="1:6" ht="30" customHeight="1">
      <c r="A48" s="70" t="s">
        <v>326</v>
      </c>
      <c r="B48" s="69" t="s">
        <v>327</v>
      </c>
      <c r="C48" s="74">
        <v>100</v>
      </c>
      <c r="D48" s="74"/>
      <c r="E48" s="117"/>
      <c r="F48" s="74">
        <f t="shared" si="1"/>
        <v>100</v>
      </c>
    </row>
    <row r="49" spans="1:6" ht="15" customHeight="1">
      <c r="A49" s="70" t="s">
        <v>328</v>
      </c>
      <c r="B49" s="69" t="s">
        <v>329</v>
      </c>
      <c r="C49" s="74">
        <v>3000</v>
      </c>
      <c r="D49" s="74"/>
      <c r="E49" s="117"/>
      <c r="F49" s="74">
        <f t="shared" si="1"/>
        <v>3000</v>
      </c>
    </row>
    <row r="50" spans="1:6" ht="15" customHeight="1">
      <c r="A50" s="70" t="s">
        <v>330</v>
      </c>
      <c r="B50" s="69" t="s">
        <v>331</v>
      </c>
      <c r="C50" s="74">
        <v>100</v>
      </c>
      <c r="D50" s="74"/>
      <c r="E50" s="117"/>
      <c r="F50" s="74">
        <f t="shared" si="1"/>
        <v>100</v>
      </c>
    </row>
    <row r="51" spans="1:6" ht="15" customHeight="1">
      <c r="A51" s="71" t="s">
        <v>332</v>
      </c>
      <c r="B51" s="71" t="s">
        <v>333</v>
      </c>
      <c r="C51" s="73">
        <f>C52+C54</f>
        <v>2000</v>
      </c>
      <c r="D51" s="74"/>
      <c r="E51" s="117"/>
      <c r="F51" s="73">
        <f t="shared" si="1"/>
        <v>2000</v>
      </c>
    </row>
    <row r="52" spans="1:6" ht="15" customHeight="1">
      <c r="A52" s="70" t="s">
        <v>334</v>
      </c>
      <c r="B52" s="69" t="s">
        <v>335</v>
      </c>
      <c r="C52" s="74">
        <f>C53</f>
        <v>1500</v>
      </c>
      <c r="D52" s="74"/>
      <c r="E52" s="117"/>
      <c r="F52" s="74">
        <f t="shared" si="1"/>
        <v>1500</v>
      </c>
    </row>
    <row r="53" spans="1:6" ht="30" customHeight="1">
      <c r="A53" s="70" t="s">
        <v>336</v>
      </c>
      <c r="B53" s="69" t="s">
        <v>337</v>
      </c>
      <c r="C53" s="74">
        <v>1500</v>
      </c>
      <c r="D53" s="74"/>
      <c r="E53" s="117"/>
      <c r="F53" s="74">
        <f t="shared" si="1"/>
        <v>1500</v>
      </c>
    </row>
    <row r="54" spans="1:6" ht="30" customHeight="1">
      <c r="A54" s="70" t="s">
        <v>338</v>
      </c>
      <c r="B54" s="69" t="s">
        <v>339</v>
      </c>
      <c r="C54" s="74">
        <v>500</v>
      </c>
      <c r="D54" s="74"/>
      <c r="E54" s="117"/>
      <c r="F54" s="74">
        <f t="shared" si="1"/>
        <v>500</v>
      </c>
    </row>
    <row r="55" spans="1:7" ht="15" customHeight="1">
      <c r="A55" s="71" t="s">
        <v>340</v>
      </c>
      <c r="B55" s="72" t="s">
        <v>341</v>
      </c>
      <c r="C55" s="73">
        <f>C56</f>
        <v>44659</v>
      </c>
      <c r="D55" s="73"/>
      <c r="E55" s="117"/>
      <c r="F55" s="73">
        <f t="shared" si="1"/>
        <v>44659</v>
      </c>
      <c r="G55" s="75"/>
    </row>
    <row r="56" spans="1:6" ht="30" customHeight="1">
      <c r="A56" s="70" t="s">
        <v>342</v>
      </c>
      <c r="B56" s="69" t="s">
        <v>343</v>
      </c>
      <c r="C56" s="74">
        <f>C57</f>
        <v>44659</v>
      </c>
      <c r="D56" s="74"/>
      <c r="E56" s="117"/>
      <c r="F56" s="74">
        <f t="shared" si="1"/>
        <v>44659</v>
      </c>
    </row>
    <row r="57" spans="1:6" ht="15" customHeight="1">
      <c r="A57" s="70" t="s">
        <v>344</v>
      </c>
      <c r="B57" s="69" t="s">
        <v>345</v>
      </c>
      <c r="C57" s="74">
        <f>SUM(C58:C63)</f>
        <v>44659</v>
      </c>
      <c r="D57" s="74"/>
      <c r="E57" s="117"/>
      <c r="F57" s="74">
        <f>SUM(F58:F63)</f>
        <v>44659</v>
      </c>
    </row>
    <row r="58" spans="1:6" ht="15" customHeight="1">
      <c r="A58" s="70"/>
      <c r="B58" s="70" t="s">
        <v>200</v>
      </c>
      <c r="C58" s="74">
        <v>4000</v>
      </c>
      <c r="D58" s="74"/>
      <c r="E58" s="117"/>
      <c r="F58" s="74">
        <f t="shared" si="2" ref="F58:F63">C58</f>
        <v>4000</v>
      </c>
    </row>
    <row r="59" spans="1:6" ht="15" customHeight="1">
      <c r="A59" s="70"/>
      <c r="B59" s="70" t="s">
        <v>346</v>
      </c>
      <c r="C59" s="74">
        <v>1835</v>
      </c>
      <c r="D59" s="74"/>
      <c r="E59" s="117"/>
      <c r="F59" s="74">
        <f t="shared" si="2"/>
        <v>1835</v>
      </c>
    </row>
    <row r="60" spans="1:6" ht="15" customHeight="1">
      <c r="A60" s="70"/>
      <c r="B60" s="69" t="s">
        <v>33</v>
      </c>
      <c r="C60" s="74">
        <v>420</v>
      </c>
      <c r="D60" s="74"/>
      <c r="E60" s="117"/>
      <c r="F60" s="74">
        <f t="shared" si="2"/>
        <v>420</v>
      </c>
    </row>
    <row r="61" spans="1:6" ht="15" customHeight="1">
      <c r="A61" s="70"/>
      <c r="B61" s="69" t="s">
        <v>49</v>
      </c>
      <c r="C61" s="74">
        <v>13052</v>
      </c>
      <c r="D61" s="74"/>
      <c r="E61" s="117"/>
      <c r="F61" s="74">
        <f t="shared" si="2"/>
        <v>13052</v>
      </c>
    </row>
    <row r="62" spans="1:6" ht="15" customHeight="1">
      <c r="A62" s="70"/>
      <c r="B62" s="69" t="s">
        <v>118</v>
      </c>
      <c r="C62" s="74">
        <v>9323</v>
      </c>
      <c r="D62" s="74"/>
      <c r="E62" s="117"/>
      <c r="F62" s="74">
        <f t="shared" si="2"/>
        <v>9323</v>
      </c>
    </row>
    <row r="63" spans="1:6" ht="30" customHeight="1">
      <c r="A63" s="70"/>
      <c r="B63" s="69" t="s">
        <v>347</v>
      </c>
      <c r="C63" s="103">
        <v>16029</v>
      </c>
      <c r="D63" s="74"/>
      <c r="E63" s="117"/>
      <c r="F63" s="74">
        <f t="shared" si="2"/>
        <v>16029</v>
      </c>
    </row>
    <row r="64" spans="1:7" ht="30" customHeight="1">
      <c r="A64" s="71" t="s">
        <v>348</v>
      </c>
      <c r="B64" s="72" t="s">
        <v>349</v>
      </c>
      <c r="C64" s="73">
        <f>C65+C66</f>
        <v>530000</v>
      </c>
      <c r="D64" s="74"/>
      <c r="E64" s="117"/>
      <c r="F64" s="73">
        <f>F65+F66</f>
        <v>530000</v>
      </c>
      <c r="G64" s="75"/>
    </row>
    <row r="65" spans="1:6" ht="15" customHeight="1">
      <c r="A65" s="70" t="s">
        <v>350</v>
      </c>
      <c r="B65" s="69" t="s">
        <v>351</v>
      </c>
      <c r="C65" s="74">
        <v>30000</v>
      </c>
      <c r="D65" s="74"/>
      <c r="E65" s="117"/>
      <c r="F65" s="74">
        <f>C65</f>
        <v>30000</v>
      </c>
    </row>
    <row r="66" spans="1:6" ht="15" customHeight="1">
      <c r="A66" s="70" t="s">
        <v>352</v>
      </c>
      <c r="B66" s="70" t="s">
        <v>353</v>
      </c>
      <c r="C66" s="74">
        <f>C67+C68</f>
        <v>500000</v>
      </c>
      <c r="D66" s="74"/>
      <c r="E66" s="117"/>
      <c r="F66" s="74">
        <f>C66</f>
        <v>500000</v>
      </c>
    </row>
    <row r="67" spans="1:6" ht="15" customHeight="1">
      <c r="A67" s="70" t="s">
        <v>354</v>
      </c>
      <c r="B67" s="70" t="s">
        <v>355</v>
      </c>
      <c r="C67" s="74">
        <v>500000</v>
      </c>
      <c r="D67" s="74"/>
      <c r="E67" s="117"/>
      <c r="F67" s="74">
        <f>C67</f>
        <v>500000</v>
      </c>
    </row>
    <row r="68" spans="1:6" ht="0.75" customHeight="1" hidden="1">
      <c r="A68" s="70" t="s">
        <v>356</v>
      </c>
      <c r="B68" s="70" t="s">
        <v>357</v>
      </c>
      <c r="C68" s="74"/>
      <c r="D68" s="74"/>
      <c r="E68" s="117"/>
      <c r="F68" s="74">
        <f>C68</f>
        <v>0</v>
      </c>
    </row>
    <row r="69" spans="1:7" ht="47.1" customHeight="1">
      <c r="A69" s="71" t="s">
        <v>358</v>
      </c>
      <c r="B69" s="72" t="s">
        <v>359</v>
      </c>
      <c r="C69" s="73"/>
      <c r="D69" s="73"/>
      <c r="E69" s="116">
        <f>E70</f>
        <v>8000</v>
      </c>
      <c r="F69" s="73">
        <f>E69</f>
        <v>8000</v>
      </c>
      <c r="G69" s="75"/>
    </row>
    <row r="70" spans="1:6" ht="30.6" customHeight="1">
      <c r="A70" s="70" t="s">
        <v>608</v>
      </c>
      <c r="B70" s="104" t="s">
        <v>610</v>
      </c>
      <c r="C70" s="73"/>
      <c r="D70" s="73"/>
      <c r="E70" s="117">
        <v>8000</v>
      </c>
      <c r="F70" s="74">
        <f>E70</f>
        <v>8000</v>
      </c>
    </row>
    <row r="71" spans="1:7" ht="15" customHeight="1">
      <c r="A71" s="71" t="s">
        <v>361</v>
      </c>
      <c r="B71" s="71" t="s">
        <v>362</v>
      </c>
      <c r="C71" s="73"/>
      <c r="D71" s="73"/>
      <c r="E71" s="116">
        <f>E72+E118+E107</f>
        <v>18261306</v>
      </c>
      <c r="F71" s="73">
        <f t="shared" si="3" ref="F71:F82">E71</f>
        <v>18261306</v>
      </c>
      <c r="G71" s="75"/>
    </row>
    <row r="72" spans="1:6" ht="30" customHeight="1">
      <c r="A72" s="71" t="s">
        <v>363</v>
      </c>
      <c r="B72" s="72" t="s">
        <v>364</v>
      </c>
      <c r="C72" s="73"/>
      <c r="D72" s="73"/>
      <c r="E72" s="116">
        <f>SUM(E73:E106)-E88</f>
        <v>8688014</v>
      </c>
      <c r="F72" s="73">
        <f>E72</f>
        <v>8688014</v>
      </c>
    </row>
    <row r="73" spans="1:6" ht="42.75" customHeight="1">
      <c r="A73" s="70"/>
      <c r="B73" s="69" t="s">
        <v>639</v>
      </c>
      <c r="C73" s="73"/>
      <c r="D73" s="73"/>
      <c r="E73" s="117">
        <v>484247</v>
      </c>
      <c r="F73" s="74">
        <f t="shared" si="3"/>
        <v>484247</v>
      </c>
    </row>
    <row r="74" spans="1:6" ht="52.5" customHeight="1">
      <c r="A74" s="70"/>
      <c r="B74" s="69" t="s">
        <v>365</v>
      </c>
      <c r="C74" s="74"/>
      <c r="D74" s="74"/>
      <c r="E74" s="117">
        <v>3335864</v>
      </c>
      <c r="F74" s="74">
        <f t="shared" si="3"/>
        <v>3335864</v>
      </c>
    </row>
    <row r="75" spans="1:6" ht="60" customHeight="1">
      <c r="A75" s="70"/>
      <c r="B75" s="69" t="s">
        <v>366</v>
      </c>
      <c r="C75" s="74"/>
      <c r="D75" s="74"/>
      <c r="E75" s="117">
        <v>201376</v>
      </c>
      <c r="F75" s="74">
        <f t="shared" si="3"/>
        <v>201376</v>
      </c>
    </row>
    <row r="76" spans="1:6" ht="45" customHeight="1">
      <c r="A76" s="70"/>
      <c r="B76" s="69" t="s">
        <v>367</v>
      </c>
      <c r="C76" s="74"/>
      <c r="D76" s="74"/>
      <c r="E76" s="117">
        <v>185389</v>
      </c>
      <c r="F76" s="74">
        <f t="shared" si="3"/>
        <v>185389</v>
      </c>
    </row>
    <row r="77" spans="1:6" ht="60" customHeight="1">
      <c r="A77" s="70"/>
      <c r="B77" s="69" t="s">
        <v>368</v>
      </c>
      <c r="C77" s="74"/>
      <c r="D77" s="74"/>
      <c r="E77" s="117">
        <v>536518</v>
      </c>
      <c r="F77" s="74">
        <f t="shared" si="3"/>
        <v>536518</v>
      </c>
    </row>
    <row r="78" spans="1:6" ht="30" customHeight="1">
      <c r="A78" s="70"/>
      <c r="B78" s="79" t="s">
        <v>369</v>
      </c>
      <c r="C78" s="74"/>
      <c r="D78" s="74"/>
      <c r="E78" s="117">
        <v>20951</v>
      </c>
      <c r="F78" s="74">
        <f t="shared" si="3"/>
        <v>20951</v>
      </c>
    </row>
    <row r="79" spans="1:6" ht="15" customHeight="1">
      <c r="A79" s="70"/>
      <c r="B79" s="69" t="s">
        <v>370</v>
      </c>
      <c r="C79" s="74"/>
      <c r="D79" s="74"/>
      <c r="E79" s="117">
        <f>956808+62399+10381</f>
        <v>1029588</v>
      </c>
      <c r="F79" s="74">
        <f t="shared" si="3"/>
        <v>1029588</v>
      </c>
    </row>
    <row r="80" spans="1:6" ht="15" customHeight="1">
      <c r="A80" s="70"/>
      <c r="B80" s="70" t="s">
        <v>371</v>
      </c>
      <c r="C80" s="74"/>
      <c r="D80" s="74"/>
      <c r="E80" s="117">
        <v>393332</v>
      </c>
      <c r="F80" s="74">
        <f t="shared" si="3"/>
        <v>393332</v>
      </c>
    </row>
    <row r="81" spans="1:6" ht="15" customHeight="1">
      <c r="A81" s="70"/>
      <c r="B81" s="70" t="s">
        <v>372</v>
      </c>
      <c r="C81" s="74"/>
      <c r="D81" s="74"/>
      <c r="E81" s="117">
        <v>554359</v>
      </c>
      <c r="F81" s="74">
        <f t="shared" si="3"/>
        <v>554359</v>
      </c>
    </row>
    <row r="82" spans="1:6" ht="30" customHeight="1">
      <c r="A82" s="70"/>
      <c r="B82" s="69" t="s">
        <v>373</v>
      </c>
      <c r="C82" s="74"/>
      <c r="D82" s="74"/>
      <c r="E82" s="117">
        <v>164282</v>
      </c>
      <c r="F82" s="74">
        <f t="shared" si="3"/>
        <v>164282</v>
      </c>
    </row>
    <row r="83" spans="1:6" ht="45" customHeight="1">
      <c r="A83" s="70"/>
      <c r="B83" s="69" t="s">
        <v>374</v>
      </c>
      <c r="C83" s="74"/>
      <c r="D83" s="74"/>
      <c r="E83" s="117">
        <v>61200</v>
      </c>
      <c r="F83" s="74">
        <f>E83</f>
        <v>61200</v>
      </c>
    </row>
    <row r="84" spans="1:6" ht="30" customHeight="1">
      <c r="A84" s="70"/>
      <c r="B84" s="69" t="s">
        <v>377</v>
      </c>
      <c r="C84" s="74"/>
      <c r="D84" s="74"/>
      <c r="E84" s="117">
        <v>26000</v>
      </c>
      <c r="F84" s="74">
        <f>E84</f>
        <v>26000</v>
      </c>
    </row>
    <row r="85" spans="1:6" ht="30" customHeight="1">
      <c r="A85" s="70"/>
      <c r="B85" s="69" t="s">
        <v>725</v>
      </c>
      <c r="C85" s="74"/>
      <c r="D85" s="74"/>
      <c r="E85" s="117">
        <v>3749</v>
      </c>
      <c r="F85" s="74">
        <f>E85</f>
        <v>3749</v>
      </c>
    </row>
    <row r="86" spans="1:6" ht="15" customHeight="1">
      <c r="A86" s="70"/>
      <c r="B86" s="79" t="s">
        <v>378</v>
      </c>
      <c r="C86" s="74"/>
      <c r="D86" s="74"/>
      <c r="E86" s="117">
        <v>35560</v>
      </c>
      <c r="F86" s="74">
        <f>E86</f>
        <v>35560</v>
      </c>
    </row>
    <row r="87" spans="1:6" ht="23.25" customHeight="1">
      <c r="A87" s="70"/>
      <c r="B87" s="69" t="s">
        <v>623</v>
      </c>
      <c r="C87" s="74"/>
      <c r="D87" s="74"/>
      <c r="E87" s="119">
        <v>121673</v>
      </c>
      <c r="F87" s="74">
        <f t="shared" si="4" ref="F87:F103">E87</f>
        <v>121673</v>
      </c>
    </row>
    <row r="88" spans="1:6" ht="15" customHeight="1">
      <c r="A88" s="70"/>
      <c r="B88" s="70" t="s">
        <v>761</v>
      </c>
      <c r="C88" s="74"/>
      <c r="D88" s="74"/>
      <c r="E88" s="117">
        <f>SUM(E89:E97)</f>
        <v>135837</v>
      </c>
      <c r="F88" s="74">
        <f t="shared" si="4"/>
        <v>135837</v>
      </c>
    </row>
    <row r="89" spans="1:6" s="66" customFormat="1" ht="15" customHeight="1">
      <c r="A89" s="101"/>
      <c r="B89" s="166" t="s">
        <v>212</v>
      </c>
      <c r="C89" s="82"/>
      <c r="D89" s="82"/>
      <c r="E89" s="118">
        <v>15093</v>
      </c>
      <c r="F89" s="82">
        <f t="shared" si="4"/>
        <v>15093</v>
      </c>
    </row>
    <row r="90" spans="1:6" s="66" customFormat="1" ht="15" customHeight="1">
      <c r="A90" s="101"/>
      <c r="B90" s="166" t="s">
        <v>213</v>
      </c>
      <c r="C90" s="82"/>
      <c r="D90" s="82"/>
      <c r="E90" s="118">
        <v>15093</v>
      </c>
      <c r="F90" s="82">
        <f t="shared" si="4"/>
        <v>15093</v>
      </c>
    </row>
    <row r="91" spans="1:6" s="66" customFormat="1" ht="15" customHeight="1">
      <c r="A91" s="101"/>
      <c r="B91" s="166" t="s">
        <v>215</v>
      </c>
      <c r="C91" s="82"/>
      <c r="D91" s="82"/>
      <c r="E91" s="118">
        <v>15093</v>
      </c>
      <c r="F91" s="82">
        <f t="shared" si="4"/>
        <v>15093</v>
      </c>
    </row>
    <row r="92" spans="1:6" s="66" customFormat="1" ht="15" customHeight="1">
      <c r="A92" s="101"/>
      <c r="B92" s="166" t="s">
        <v>217</v>
      </c>
      <c r="C92" s="82"/>
      <c r="D92" s="82"/>
      <c r="E92" s="118">
        <v>15093</v>
      </c>
      <c r="F92" s="82">
        <f t="shared" si="4"/>
        <v>15093</v>
      </c>
    </row>
    <row r="93" spans="1:6" s="66" customFormat="1" ht="15" customHeight="1">
      <c r="A93" s="101"/>
      <c r="B93" s="166" t="s">
        <v>218</v>
      </c>
      <c r="C93" s="82"/>
      <c r="D93" s="82"/>
      <c r="E93" s="118">
        <v>15093</v>
      </c>
      <c r="F93" s="82">
        <f t="shared" si="4"/>
        <v>15093</v>
      </c>
    </row>
    <row r="94" spans="1:6" s="66" customFormat="1" ht="15" customHeight="1">
      <c r="A94" s="101"/>
      <c r="B94" s="166" t="s">
        <v>214</v>
      </c>
      <c r="C94" s="82"/>
      <c r="D94" s="82"/>
      <c r="E94" s="118">
        <v>15093</v>
      </c>
      <c r="F94" s="82">
        <f t="shared" si="4"/>
        <v>15093</v>
      </c>
    </row>
    <row r="95" spans="1:6" s="66" customFormat="1" ht="15" customHeight="1">
      <c r="A95" s="101"/>
      <c r="B95" s="166" t="s">
        <v>748</v>
      </c>
      <c r="C95" s="82"/>
      <c r="D95" s="82"/>
      <c r="E95" s="118">
        <v>15093</v>
      </c>
      <c r="F95" s="82">
        <f t="shared" si="4"/>
        <v>15093</v>
      </c>
    </row>
    <row r="96" spans="1:6" s="66" customFormat="1" ht="15" customHeight="1">
      <c r="A96" s="101"/>
      <c r="B96" s="166" t="s">
        <v>216</v>
      </c>
      <c r="C96" s="82"/>
      <c r="D96" s="82"/>
      <c r="E96" s="118">
        <v>15093</v>
      </c>
      <c r="F96" s="82">
        <f t="shared" si="4"/>
        <v>15093</v>
      </c>
    </row>
    <row r="97" spans="1:6" s="66" customFormat="1" ht="15" customHeight="1">
      <c r="A97" s="101"/>
      <c r="B97" s="166" t="s">
        <v>747</v>
      </c>
      <c r="C97" s="82"/>
      <c r="D97" s="82"/>
      <c r="E97" s="118">
        <v>15093</v>
      </c>
      <c r="F97" s="82">
        <f t="shared" si="4"/>
        <v>15093</v>
      </c>
    </row>
    <row r="98" spans="1:6" ht="15" customHeight="1">
      <c r="A98" s="70"/>
      <c r="B98" s="166" t="s">
        <v>127</v>
      </c>
      <c r="C98" s="74"/>
      <c r="D98" s="74"/>
      <c r="E98" s="118">
        <v>21967</v>
      </c>
      <c r="F98" s="82">
        <f t="shared" si="4"/>
        <v>21967</v>
      </c>
    </row>
    <row r="99" spans="1:6" ht="30" customHeight="1">
      <c r="A99" s="70"/>
      <c r="B99" s="69" t="s">
        <v>380</v>
      </c>
      <c r="C99" s="74"/>
      <c r="D99" s="74"/>
      <c r="E99" s="117">
        <v>685761</v>
      </c>
      <c r="F99" s="74">
        <f t="shared" si="4"/>
        <v>685761</v>
      </c>
    </row>
    <row r="100" spans="1:6" ht="48.75" customHeight="1">
      <c r="A100" s="70"/>
      <c r="B100" s="69" t="s">
        <v>732</v>
      </c>
      <c r="C100" s="74"/>
      <c r="D100" s="74"/>
      <c r="E100" s="117">
        <v>13752</v>
      </c>
      <c r="F100" s="74">
        <f t="shared" si="4"/>
        <v>13752</v>
      </c>
    </row>
    <row r="101" spans="1:6" ht="22.5" customHeight="1">
      <c r="A101" s="70"/>
      <c r="B101" s="113" t="s">
        <v>536</v>
      </c>
      <c r="C101" s="74"/>
      <c r="D101" s="74"/>
      <c r="E101" s="119">
        <v>38304</v>
      </c>
      <c r="F101" s="74">
        <f t="shared" si="4"/>
        <v>38304</v>
      </c>
    </row>
    <row r="102" spans="1:6" ht="30" customHeight="1">
      <c r="A102" s="70"/>
      <c r="B102" s="113" t="s">
        <v>540</v>
      </c>
      <c r="C102" s="74"/>
      <c r="D102" s="74"/>
      <c r="E102" s="117">
        <v>9700</v>
      </c>
      <c r="F102" s="74">
        <f t="shared" si="4"/>
        <v>9700</v>
      </c>
    </row>
    <row r="103" spans="1:6" ht="48" customHeight="1">
      <c r="A103" s="70"/>
      <c r="B103" s="113" t="s">
        <v>731</v>
      </c>
      <c r="C103" s="74"/>
      <c r="D103" s="74"/>
      <c r="E103" s="117">
        <v>71623</v>
      </c>
      <c r="F103" s="74">
        <f t="shared" si="4"/>
        <v>71623</v>
      </c>
    </row>
    <row r="104" spans="1:6" ht="51" customHeight="1">
      <c r="A104" s="70"/>
      <c r="B104" s="76" t="s">
        <v>760</v>
      </c>
      <c r="C104" s="74"/>
      <c r="D104" s="74"/>
      <c r="E104" s="119">
        <v>18531</v>
      </c>
      <c r="F104" s="74">
        <f t="shared" si="5" ref="F104:F108">E104</f>
        <v>18531</v>
      </c>
    </row>
    <row r="105" spans="1:6" s="64" customFormat="1" ht="21.75" customHeight="1">
      <c r="A105" s="70"/>
      <c r="B105" s="105" t="s">
        <v>381</v>
      </c>
      <c r="C105" s="74"/>
      <c r="D105" s="74"/>
      <c r="E105" s="117">
        <v>256079</v>
      </c>
      <c r="F105" s="74">
        <f t="shared" si="5"/>
        <v>256079</v>
      </c>
    </row>
    <row r="106" spans="1:6" s="64" customFormat="1" ht="45.75" customHeight="1">
      <c r="A106" s="70"/>
      <c r="B106" s="105" t="s">
        <v>729</v>
      </c>
      <c r="C106" s="74"/>
      <c r="D106" s="74"/>
      <c r="E106" s="117">
        <v>282372</v>
      </c>
      <c r="F106" s="74">
        <f t="shared" si="5"/>
        <v>282372</v>
      </c>
    </row>
    <row r="107" spans="1:6" ht="69.75" customHeight="1">
      <c r="A107" s="71" t="s">
        <v>382</v>
      </c>
      <c r="B107" s="72" t="s">
        <v>383</v>
      </c>
      <c r="C107" s="73"/>
      <c r="D107" s="73">
        <f>SUM(D108:D117)</f>
        <v>0</v>
      </c>
      <c r="E107" s="116">
        <f>SUM(E108:E117)</f>
        <v>2484781</v>
      </c>
      <c r="F107" s="73">
        <f t="shared" si="5"/>
        <v>2484781</v>
      </c>
    </row>
    <row r="108" spans="1:6" ht="18" customHeight="1">
      <c r="A108" s="70"/>
      <c r="B108" s="79" t="s">
        <v>45</v>
      </c>
      <c r="C108" s="73"/>
      <c r="D108" s="74"/>
      <c r="E108" s="117">
        <v>10634</v>
      </c>
      <c r="F108" s="74">
        <f t="shared" si="5"/>
        <v>10634</v>
      </c>
    </row>
    <row r="109" spans="1:6" ht="51" customHeight="1">
      <c r="A109" s="70"/>
      <c r="B109" s="69" t="s">
        <v>711</v>
      </c>
      <c r="C109" s="73"/>
      <c r="D109" s="74"/>
      <c r="E109" s="117">
        <v>22142</v>
      </c>
      <c r="F109" s="74">
        <f t="shared" si="6" ref="F109:F118">E109</f>
        <v>22142</v>
      </c>
    </row>
    <row r="110" spans="1:6" ht="39" customHeight="1">
      <c r="A110" s="70"/>
      <c r="B110" s="69" t="s">
        <v>713</v>
      </c>
      <c r="C110" s="73"/>
      <c r="D110" s="74"/>
      <c r="E110" s="117">
        <v>200813</v>
      </c>
      <c r="F110" s="74">
        <f t="shared" si="6"/>
        <v>200813</v>
      </c>
    </row>
    <row r="111" spans="1:6" ht="38.25" customHeight="1">
      <c r="A111" s="70"/>
      <c r="B111" s="69" t="s">
        <v>651</v>
      </c>
      <c r="C111" s="73"/>
      <c r="D111" s="74"/>
      <c r="E111" s="117">
        <v>376000</v>
      </c>
      <c r="F111" s="74">
        <f t="shared" si="6"/>
        <v>376000</v>
      </c>
    </row>
    <row r="112" spans="1:6" ht="32.25" customHeight="1">
      <c r="A112" s="70"/>
      <c r="B112" s="69" t="s">
        <v>714</v>
      </c>
      <c r="C112" s="73"/>
      <c r="D112" s="74"/>
      <c r="E112" s="117">
        <v>260434</v>
      </c>
      <c r="F112" s="74">
        <f t="shared" si="6"/>
        <v>260434</v>
      </c>
    </row>
    <row r="113" spans="1:6" ht="50.25" customHeight="1">
      <c r="A113" s="70"/>
      <c r="B113" s="69" t="s">
        <v>652</v>
      </c>
      <c r="C113" s="73"/>
      <c r="D113" s="74"/>
      <c r="E113" s="117">
        <v>227396</v>
      </c>
      <c r="F113" s="74">
        <f t="shared" si="6"/>
        <v>227396</v>
      </c>
    </row>
    <row r="114" spans="1:6" ht="32.25" customHeight="1">
      <c r="A114" s="70"/>
      <c r="B114" s="69" t="s">
        <v>653</v>
      </c>
      <c r="C114" s="73"/>
      <c r="D114" s="74"/>
      <c r="E114" s="117">
        <v>1243211</v>
      </c>
      <c r="F114" s="74">
        <f t="shared" si="6"/>
        <v>1243211</v>
      </c>
    </row>
    <row r="115" spans="1:6" ht="21.75" customHeight="1">
      <c r="A115" s="70"/>
      <c r="B115" s="69" t="s">
        <v>721</v>
      </c>
      <c r="C115" s="73"/>
      <c r="D115" s="74"/>
      <c r="E115" s="117">
        <v>60000</v>
      </c>
      <c r="F115" s="74">
        <f t="shared" si="6"/>
        <v>60000</v>
      </c>
    </row>
    <row r="116" spans="1:6" ht="21.75" customHeight="1">
      <c r="A116" s="70"/>
      <c r="B116" s="69" t="s">
        <v>84</v>
      </c>
      <c r="C116" s="73"/>
      <c r="D116" s="74"/>
      <c r="E116" s="117">
        <v>66300</v>
      </c>
      <c r="F116" s="74">
        <f t="shared" si="6"/>
        <v>66300</v>
      </c>
    </row>
    <row r="117" spans="1:6" ht="32.25" customHeight="1">
      <c r="A117" s="70"/>
      <c r="B117" s="69" t="s">
        <v>725</v>
      </c>
      <c r="C117" s="73"/>
      <c r="D117" s="74"/>
      <c r="E117" s="117">
        <v>17851</v>
      </c>
      <c r="F117" s="74">
        <f t="shared" si="6"/>
        <v>17851</v>
      </c>
    </row>
    <row r="118" spans="1:6" s="64" customFormat="1" ht="33.75" customHeight="1">
      <c r="A118" s="71" t="s">
        <v>384</v>
      </c>
      <c r="B118" s="72" t="s">
        <v>385</v>
      </c>
      <c r="C118" s="73"/>
      <c r="D118" s="73"/>
      <c r="E118" s="73">
        <v>7088511</v>
      </c>
      <c r="F118" s="73">
        <f t="shared" si="6"/>
        <v>7088511</v>
      </c>
    </row>
    <row r="119" spans="1:7" ht="30.75" customHeight="1">
      <c r="A119" s="71" t="s">
        <v>546</v>
      </c>
      <c r="B119" s="72" t="s">
        <v>545</v>
      </c>
      <c r="C119" s="73"/>
      <c r="D119" s="73">
        <f>D120</f>
        <v>150000</v>
      </c>
      <c r="E119" s="116"/>
      <c r="F119" s="73">
        <f>C119+D119+E119</f>
        <v>150000</v>
      </c>
      <c r="G119" s="75"/>
    </row>
    <row r="120" spans="1:6" ht="15" customHeight="1">
      <c r="A120" s="70" t="s">
        <v>547</v>
      </c>
      <c r="B120" s="69" t="s">
        <v>548</v>
      </c>
      <c r="C120" s="74"/>
      <c r="D120" s="74">
        <v>150000</v>
      </c>
      <c r="E120" s="117"/>
      <c r="F120" s="74">
        <f>C120+D120+E120</f>
        <v>150000</v>
      </c>
    </row>
    <row r="121" spans="1:7" ht="30.75" customHeight="1">
      <c r="A121" s="102" t="s">
        <v>614</v>
      </c>
      <c r="B121" s="71" t="s">
        <v>387</v>
      </c>
      <c r="C121" s="73"/>
      <c r="D121" s="73">
        <f>D122+D393</f>
        <v>5629988</v>
      </c>
      <c r="E121" s="116">
        <f>E122+E393</f>
        <v>0</v>
      </c>
      <c r="F121" s="73">
        <f>D121</f>
        <v>5629988</v>
      </c>
      <c r="G121" s="75"/>
    </row>
    <row r="122" spans="1:6" s="64" customFormat="1" ht="31.5" customHeight="1">
      <c r="A122" s="71" t="s">
        <v>388</v>
      </c>
      <c r="B122" s="72" t="s">
        <v>389</v>
      </c>
      <c r="C122" s="73"/>
      <c r="D122" s="73">
        <f>D123+D140+D143+D213</f>
        <v>5624988</v>
      </c>
      <c r="E122" s="117"/>
      <c r="F122" s="73">
        <f t="shared" si="7" ref="F122:F183">D122</f>
        <v>5624988</v>
      </c>
    </row>
    <row r="123" spans="1:6" s="64" customFormat="1" ht="15" customHeight="1">
      <c r="A123" s="71" t="s">
        <v>390</v>
      </c>
      <c r="B123" s="71" t="s">
        <v>391</v>
      </c>
      <c r="C123" s="73"/>
      <c r="D123" s="73">
        <f>D124+D127</f>
        <v>139443</v>
      </c>
      <c r="E123" s="116"/>
      <c r="F123" s="73">
        <f t="shared" si="7"/>
        <v>139443</v>
      </c>
    </row>
    <row r="124" spans="1:6" ht="15" customHeight="1">
      <c r="A124" s="71" t="s">
        <v>392</v>
      </c>
      <c r="B124" s="71" t="s">
        <v>393</v>
      </c>
      <c r="C124" s="73"/>
      <c r="D124" s="73">
        <f>SUM(D125:D126)</f>
        <v>30132</v>
      </c>
      <c r="E124" s="116"/>
      <c r="F124" s="73">
        <f t="shared" si="7"/>
        <v>30132</v>
      </c>
    </row>
    <row r="125" spans="1:6" ht="15" customHeight="1">
      <c r="A125" s="70"/>
      <c r="B125" s="80" t="s">
        <v>394</v>
      </c>
      <c r="C125" s="74"/>
      <c r="D125" s="74">
        <v>17496</v>
      </c>
      <c r="E125" s="117"/>
      <c r="F125" s="74">
        <f t="shared" si="7"/>
        <v>17496</v>
      </c>
    </row>
    <row r="126" spans="1:6" ht="15" customHeight="1">
      <c r="A126" s="70"/>
      <c r="B126" s="80" t="s">
        <v>395</v>
      </c>
      <c r="C126" s="74"/>
      <c r="D126" s="74">
        <v>12636</v>
      </c>
      <c r="E126" s="117"/>
      <c r="F126" s="74">
        <f t="shared" si="7"/>
        <v>12636</v>
      </c>
    </row>
    <row r="127" spans="1:6" ht="15" customHeight="1">
      <c r="A127" s="71" t="s">
        <v>396</v>
      </c>
      <c r="B127" s="71" t="s">
        <v>397</v>
      </c>
      <c r="C127" s="73"/>
      <c r="D127" s="73">
        <f>SUM(D128:D139)</f>
        <v>109311</v>
      </c>
      <c r="E127" s="116"/>
      <c r="F127" s="73">
        <f t="shared" si="7"/>
        <v>109311</v>
      </c>
    </row>
    <row r="128" spans="1:6" ht="15" customHeight="1">
      <c r="A128" s="70"/>
      <c r="B128" s="80" t="s">
        <v>28</v>
      </c>
      <c r="C128" s="74"/>
      <c r="D128" s="74">
        <v>39000</v>
      </c>
      <c r="E128" s="117"/>
      <c r="F128" s="74">
        <f t="shared" si="7"/>
        <v>39000</v>
      </c>
    </row>
    <row r="129" spans="1:6" ht="15" customHeight="1">
      <c r="A129" s="70"/>
      <c r="B129" s="80" t="s">
        <v>29</v>
      </c>
      <c r="C129" s="74"/>
      <c r="D129" s="74">
        <v>22000</v>
      </c>
      <c r="E129" s="117"/>
      <c r="F129" s="74">
        <f t="shared" si="7"/>
        <v>22000</v>
      </c>
    </row>
    <row r="130" spans="1:6" ht="15" customHeight="1">
      <c r="A130" s="70"/>
      <c r="B130" s="80" t="s">
        <v>542</v>
      </c>
      <c r="C130" s="74"/>
      <c r="D130" s="74">
        <v>12551</v>
      </c>
      <c r="E130" s="117"/>
      <c r="F130" s="74">
        <f t="shared" si="7"/>
        <v>12551</v>
      </c>
    </row>
    <row r="131" spans="1:6" ht="15" customHeight="1">
      <c r="A131" s="70"/>
      <c r="B131" s="80" t="s">
        <v>30</v>
      </c>
      <c r="C131" s="74"/>
      <c r="D131" s="74">
        <v>3000</v>
      </c>
      <c r="E131" s="117"/>
      <c r="F131" s="74">
        <f t="shared" si="7"/>
        <v>3000</v>
      </c>
    </row>
    <row r="132" spans="1:6" ht="15" customHeight="1">
      <c r="A132" s="70"/>
      <c r="B132" s="80" t="s">
        <v>399</v>
      </c>
      <c r="C132" s="74"/>
      <c r="D132" s="74">
        <v>3400</v>
      </c>
      <c r="E132" s="117"/>
      <c r="F132" s="74">
        <f t="shared" si="7"/>
        <v>3400</v>
      </c>
    </row>
    <row r="133" spans="1:6" ht="15" customHeight="1">
      <c r="A133" s="70"/>
      <c r="B133" s="80" t="s">
        <v>564</v>
      </c>
      <c r="C133" s="74"/>
      <c r="D133" s="74">
        <v>9950</v>
      </c>
      <c r="E133" s="117"/>
      <c r="F133" s="74">
        <f t="shared" si="7"/>
        <v>9950</v>
      </c>
    </row>
    <row r="134" spans="1:6" ht="15" customHeight="1">
      <c r="A134" s="70"/>
      <c r="B134" s="80" t="s">
        <v>398</v>
      </c>
      <c r="C134" s="74"/>
      <c r="D134" s="74">
        <v>7000</v>
      </c>
      <c r="E134" s="117"/>
      <c r="F134" s="74">
        <f t="shared" si="7"/>
        <v>7000</v>
      </c>
    </row>
    <row r="135" spans="1:6" ht="15" customHeight="1">
      <c r="A135" s="70"/>
      <c r="B135" s="80" t="s">
        <v>635</v>
      </c>
      <c r="C135" s="74"/>
      <c r="D135" s="74">
        <v>1150</v>
      </c>
      <c r="E135" s="117"/>
      <c r="F135" s="74">
        <f t="shared" si="7"/>
        <v>1150</v>
      </c>
    </row>
    <row r="136" spans="1:6" ht="15" customHeight="1">
      <c r="A136" s="70"/>
      <c r="B136" s="80" t="s">
        <v>556</v>
      </c>
      <c r="C136" s="74"/>
      <c r="D136" s="74">
        <v>4100</v>
      </c>
      <c r="E136" s="117"/>
      <c r="F136" s="74">
        <f t="shared" si="7"/>
        <v>4100</v>
      </c>
    </row>
    <row r="137" spans="1:6" ht="15" customHeight="1">
      <c r="A137" s="70"/>
      <c r="B137" s="80" t="s">
        <v>573</v>
      </c>
      <c r="C137" s="74"/>
      <c r="D137" s="74">
        <v>1000</v>
      </c>
      <c r="E137" s="117"/>
      <c r="F137" s="74">
        <f t="shared" si="7"/>
        <v>1000</v>
      </c>
    </row>
    <row r="138" spans="1:6" ht="15" customHeight="1">
      <c r="A138" s="70"/>
      <c r="B138" s="80" t="s">
        <v>574</v>
      </c>
      <c r="C138" s="74"/>
      <c r="D138" s="74">
        <v>4500</v>
      </c>
      <c r="E138" s="117"/>
      <c r="F138" s="74">
        <f t="shared" si="7"/>
        <v>4500</v>
      </c>
    </row>
    <row r="139" spans="1:6" ht="15" customHeight="1">
      <c r="A139" s="70"/>
      <c r="B139" s="80" t="s">
        <v>578</v>
      </c>
      <c r="C139" s="74"/>
      <c r="D139" s="74">
        <v>1660</v>
      </c>
      <c r="E139" s="117"/>
      <c r="F139" s="74">
        <f t="shared" si="7"/>
        <v>1660</v>
      </c>
    </row>
    <row r="140" spans="1:6" s="64" customFormat="1" ht="30" customHeight="1">
      <c r="A140" s="71" t="s">
        <v>400</v>
      </c>
      <c r="B140" s="72" t="s">
        <v>401</v>
      </c>
      <c r="C140" s="73"/>
      <c r="D140" s="73">
        <f>D141</f>
        <v>1850</v>
      </c>
      <c r="E140" s="116"/>
      <c r="F140" s="73">
        <f t="shared" si="7"/>
        <v>1850</v>
      </c>
    </row>
    <row r="141" spans="1:6" ht="31.5" customHeight="1">
      <c r="A141" s="71" t="s">
        <v>402</v>
      </c>
      <c r="B141" s="72" t="s">
        <v>403</v>
      </c>
      <c r="C141" s="73"/>
      <c r="D141" s="73">
        <f>SUM(D142:D142)</f>
        <v>1850</v>
      </c>
      <c r="E141" s="116"/>
      <c r="F141" s="73">
        <f t="shared" si="7"/>
        <v>1850</v>
      </c>
    </row>
    <row r="142" spans="1:6" s="64" customFormat="1" ht="15" customHeight="1">
      <c r="A142" s="70"/>
      <c r="B142" s="79" t="s">
        <v>5</v>
      </c>
      <c r="C142" s="74"/>
      <c r="D142" s="74">
        <v>1850</v>
      </c>
      <c r="E142" s="117"/>
      <c r="F142" s="74">
        <f t="shared" si="7"/>
        <v>1850</v>
      </c>
    </row>
    <row r="143" spans="1:6" s="64" customFormat="1" ht="25.5" customHeight="1">
      <c r="A143" s="71" t="s">
        <v>404</v>
      </c>
      <c r="B143" s="71" t="s">
        <v>405</v>
      </c>
      <c r="C143" s="73"/>
      <c r="D143" s="73">
        <f>D144+D188+D192+D193</f>
        <v>586154</v>
      </c>
      <c r="E143" s="116"/>
      <c r="F143" s="73">
        <f t="shared" si="7"/>
        <v>586154</v>
      </c>
    </row>
    <row r="144" spans="1:6" ht="28.5" customHeight="1">
      <c r="A144" s="71" t="s">
        <v>406</v>
      </c>
      <c r="B144" s="72" t="s">
        <v>544</v>
      </c>
      <c r="C144" s="73"/>
      <c r="D144" s="73">
        <f>SUM(D145:D187)</f>
        <v>173033</v>
      </c>
      <c r="E144" s="116"/>
      <c r="F144" s="73">
        <f t="shared" si="7"/>
        <v>173033</v>
      </c>
    </row>
    <row r="145" spans="1:6" ht="15" customHeight="1">
      <c r="A145" s="70"/>
      <c r="B145" s="70" t="s">
        <v>407</v>
      </c>
      <c r="C145" s="74"/>
      <c r="D145" s="74">
        <v>97964</v>
      </c>
      <c r="E145" s="117"/>
      <c r="F145" s="74">
        <f t="shared" si="7"/>
        <v>97964</v>
      </c>
    </row>
    <row r="146" spans="1:6" ht="15" customHeight="1">
      <c r="A146" s="70"/>
      <c r="B146" s="70" t="s">
        <v>617</v>
      </c>
      <c r="C146" s="74"/>
      <c r="D146" s="74">
        <v>3179</v>
      </c>
      <c r="E146" s="117"/>
      <c r="F146" s="74">
        <f t="shared" si="7"/>
        <v>3179</v>
      </c>
    </row>
    <row r="147" spans="1:6" ht="15" customHeight="1">
      <c r="A147" s="70"/>
      <c r="B147" s="80" t="s">
        <v>649</v>
      </c>
      <c r="C147" s="74"/>
      <c r="D147" s="74">
        <v>340</v>
      </c>
      <c r="E147" s="117"/>
      <c r="F147" s="74">
        <f t="shared" si="7"/>
        <v>340</v>
      </c>
    </row>
    <row r="148" spans="1:6" ht="21.75" customHeight="1">
      <c r="A148" s="70"/>
      <c r="B148" s="81" t="s">
        <v>667</v>
      </c>
      <c r="C148" s="74"/>
      <c r="D148" s="67">
        <v>3370</v>
      </c>
      <c r="E148" s="117"/>
      <c r="F148" s="74">
        <f t="shared" si="7"/>
        <v>3370</v>
      </c>
    </row>
    <row r="149" spans="1:6" ht="20.25" customHeight="1">
      <c r="A149" s="70"/>
      <c r="B149" s="80" t="s">
        <v>10</v>
      </c>
      <c r="C149" s="74"/>
      <c r="D149" s="67">
        <v>420</v>
      </c>
      <c r="E149" s="117"/>
      <c r="F149" s="74">
        <f t="shared" si="7"/>
        <v>420</v>
      </c>
    </row>
    <row r="150" spans="1:6" ht="20.25" customHeight="1">
      <c r="A150" s="70"/>
      <c r="B150" s="80" t="s">
        <v>11</v>
      </c>
      <c r="C150" s="74"/>
      <c r="D150" s="67">
        <f>477+312</f>
        <v>789</v>
      </c>
      <c r="E150" s="117"/>
      <c r="F150" s="74">
        <f t="shared" si="7"/>
        <v>789</v>
      </c>
    </row>
    <row r="151" spans="1:6" ht="20.25" customHeight="1">
      <c r="A151" s="70"/>
      <c r="B151" s="79" t="s">
        <v>13</v>
      </c>
      <c r="C151" s="74"/>
      <c r="D151" s="74">
        <v>300</v>
      </c>
      <c r="E151" s="117"/>
      <c r="F151" s="74">
        <f t="shared" si="7"/>
        <v>300</v>
      </c>
    </row>
    <row r="152" spans="1:6" ht="21.75" customHeight="1">
      <c r="A152" s="70"/>
      <c r="B152" s="79" t="s">
        <v>255</v>
      </c>
      <c r="C152" s="74"/>
      <c r="D152" s="74">
        <v>4000</v>
      </c>
      <c r="E152" s="117"/>
      <c r="F152" s="74">
        <f t="shared" si="7"/>
        <v>4000</v>
      </c>
    </row>
    <row r="153" spans="1:6" ht="21" customHeight="1">
      <c r="A153" s="70"/>
      <c r="B153" s="79" t="s">
        <v>93</v>
      </c>
      <c r="C153" s="74"/>
      <c r="D153" s="74">
        <v>516</v>
      </c>
      <c r="E153" s="117"/>
      <c r="F153" s="74">
        <f t="shared" si="7"/>
        <v>516</v>
      </c>
    </row>
    <row r="154" spans="1:6" ht="21" customHeight="1">
      <c r="A154" s="70"/>
      <c r="B154" s="79" t="s">
        <v>77</v>
      </c>
      <c r="C154" s="74"/>
      <c r="D154" s="74">
        <v>700</v>
      </c>
      <c r="E154" s="117"/>
      <c r="F154" s="74">
        <f t="shared" si="7"/>
        <v>700</v>
      </c>
    </row>
    <row r="155" spans="1:6" ht="20.25" customHeight="1">
      <c r="A155" s="70"/>
      <c r="B155" s="79" t="s">
        <v>580</v>
      </c>
      <c r="C155" s="74"/>
      <c r="D155" s="74">
        <v>2200</v>
      </c>
      <c r="E155" s="117"/>
      <c r="F155" s="74">
        <f t="shared" si="7"/>
        <v>2200</v>
      </c>
    </row>
    <row r="156" spans="1:6" ht="18.75" customHeight="1">
      <c r="A156" s="70"/>
      <c r="B156" s="79" t="s">
        <v>583</v>
      </c>
      <c r="C156" s="74"/>
      <c r="D156" s="74">
        <v>120</v>
      </c>
      <c r="E156" s="117"/>
      <c r="F156" s="74">
        <f t="shared" si="7"/>
        <v>120</v>
      </c>
    </row>
    <row r="157" spans="1:6" ht="15" customHeight="1">
      <c r="A157" s="70"/>
      <c r="B157" s="79" t="s">
        <v>94</v>
      </c>
      <c r="C157" s="74"/>
      <c r="D157" s="74">
        <v>2700</v>
      </c>
      <c r="E157" s="117"/>
      <c r="F157" s="74">
        <f t="shared" si="7"/>
        <v>2700</v>
      </c>
    </row>
    <row r="158" spans="1:6" ht="30" customHeight="1">
      <c r="A158" s="70"/>
      <c r="B158" s="79" t="s">
        <v>408</v>
      </c>
      <c r="C158" s="74"/>
      <c r="D158" s="74">
        <v>4650</v>
      </c>
      <c r="E158" s="117"/>
      <c r="F158" s="74">
        <f t="shared" si="7"/>
        <v>4650</v>
      </c>
    </row>
    <row r="159" spans="1:6" ht="15" customHeight="1">
      <c r="A159" s="70"/>
      <c r="B159" s="79" t="s">
        <v>65</v>
      </c>
      <c r="C159" s="74"/>
      <c r="D159" s="74">
        <v>3850</v>
      </c>
      <c r="E159" s="117"/>
      <c r="F159" s="74">
        <f t="shared" si="7"/>
        <v>3850</v>
      </c>
    </row>
    <row r="160" spans="1:6" ht="15" customHeight="1">
      <c r="A160" s="70"/>
      <c r="B160" s="79" t="s">
        <v>63</v>
      </c>
      <c r="C160" s="74"/>
      <c r="D160" s="74">
        <v>8726</v>
      </c>
      <c r="E160" s="117"/>
      <c r="F160" s="74">
        <f t="shared" si="7"/>
        <v>8726</v>
      </c>
    </row>
    <row r="161" spans="1:6" ht="15" customHeight="1">
      <c r="A161" s="70"/>
      <c r="B161" s="79" t="s">
        <v>98</v>
      </c>
      <c r="C161" s="74"/>
      <c r="D161" s="74">
        <v>140</v>
      </c>
      <c r="E161" s="117"/>
      <c r="F161" s="74">
        <f t="shared" si="7"/>
        <v>140</v>
      </c>
    </row>
    <row r="162" spans="1:6" ht="15" customHeight="1">
      <c r="A162" s="70"/>
      <c r="B162" s="79" t="s">
        <v>139</v>
      </c>
      <c r="C162" s="74"/>
      <c r="D162" s="74">
        <v>100</v>
      </c>
      <c r="E162" s="117"/>
      <c r="F162" s="74">
        <f t="shared" si="7"/>
        <v>100</v>
      </c>
    </row>
    <row r="163" spans="1:6" ht="15" customHeight="1">
      <c r="A163" s="70"/>
      <c r="B163" s="79" t="s">
        <v>227</v>
      </c>
      <c r="C163" s="74"/>
      <c r="D163" s="74">
        <v>50</v>
      </c>
      <c r="E163" s="117"/>
      <c r="F163" s="74">
        <f t="shared" si="7"/>
        <v>50</v>
      </c>
    </row>
    <row r="164" spans="1:6" ht="15" customHeight="1">
      <c r="A164" s="70"/>
      <c r="B164" s="79" t="s">
        <v>24</v>
      </c>
      <c r="C164" s="74"/>
      <c r="D164" s="74">
        <v>80</v>
      </c>
      <c r="E164" s="117"/>
      <c r="F164" s="74">
        <f t="shared" si="7"/>
        <v>80</v>
      </c>
    </row>
    <row r="165" spans="1:6" ht="15" customHeight="1">
      <c r="A165" s="70"/>
      <c r="B165" s="79" t="s">
        <v>25</v>
      </c>
      <c r="C165" s="74"/>
      <c r="D165" s="74">
        <v>350</v>
      </c>
      <c r="E165" s="117"/>
      <c r="F165" s="74">
        <f t="shared" si="7"/>
        <v>350</v>
      </c>
    </row>
    <row r="166" spans="1:6" ht="15" customHeight="1">
      <c r="A166" s="70"/>
      <c r="B166" s="79" t="s">
        <v>375</v>
      </c>
      <c r="C166" s="74"/>
      <c r="D166" s="74">
        <v>100</v>
      </c>
      <c r="E166" s="117"/>
      <c r="F166" s="74">
        <f t="shared" si="7"/>
        <v>100</v>
      </c>
    </row>
    <row r="167" spans="1:6" ht="15" customHeight="1">
      <c r="A167" s="70"/>
      <c r="B167" s="80" t="s">
        <v>102</v>
      </c>
      <c r="C167" s="74"/>
      <c r="D167" s="74">
        <v>100</v>
      </c>
      <c r="E167" s="117"/>
      <c r="F167" s="74">
        <f t="shared" si="7"/>
        <v>100</v>
      </c>
    </row>
    <row r="168" spans="1:6" ht="15" customHeight="1">
      <c r="A168" s="70"/>
      <c r="B168" s="79" t="s">
        <v>144</v>
      </c>
      <c r="C168" s="74"/>
      <c r="D168" s="74">
        <v>100</v>
      </c>
      <c r="E168" s="117"/>
      <c r="F168" s="74">
        <f t="shared" si="7"/>
        <v>100</v>
      </c>
    </row>
    <row r="169" spans="1:6" ht="15" customHeight="1">
      <c r="A169" s="70"/>
      <c r="B169" s="79" t="s">
        <v>136</v>
      </c>
      <c r="C169" s="74"/>
      <c r="D169" s="74">
        <v>50</v>
      </c>
      <c r="E169" s="117"/>
      <c r="F169" s="74">
        <f t="shared" si="7"/>
        <v>50</v>
      </c>
    </row>
    <row r="170" spans="1:6" ht="15" customHeight="1">
      <c r="A170" s="70"/>
      <c r="B170" s="79" t="s">
        <v>154</v>
      </c>
      <c r="C170" s="74"/>
      <c r="D170" s="74">
        <v>157</v>
      </c>
      <c r="E170" s="117"/>
      <c r="F170" s="74">
        <f t="shared" si="7"/>
        <v>157</v>
      </c>
    </row>
    <row r="171" spans="1:6" ht="15" customHeight="1">
      <c r="A171" s="70"/>
      <c r="B171" s="79" t="s">
        <v>376</v>
      </c>
      <c r="C171" s="74"/>
      <c r="D171" s="74">
        <v>120</v>
      </c>
      <c r="E171" s="117"/>
      <c r="F171" s="74">
        <f t="shared" si="7"/>
        <v>120</v>
      </c>
    </row>
    <row r="172" spans="1:6" ht="15" customHeight="1">
      <c r="A172" s="70"/>
      <c r="B172" s="79" t="s">
        <v>409</v>
      </c>
      <c r="C172" s="74"/>
      <c r="D172" s="74">
        <v>100</v>
      </c>
      <c r="E172" s="117"/>
      <c r="F172" s="74">
        <f t="shared" si="7"/>
        <v>100</v>
      </c>
    </row>
    <row r="173" spans="1:6" ht="15" customHeight="1">
      <c r="A173" s="70"/>
      <c r="B173" s="79" t="s">
        <v>100</v>
      </c>
      <c r="C173" s="74"/>
      <c r="D173" s="74">
        <v>350</v>
      </c>
      <c r="E173" s="117"/>
      <c r="F173" s="74">
        <f t="shared" si="7"/>
        <v>350</v>
      </c>
    </row>
    <row r="174" spans="1:6" ht="15" customHeight="1">
      <c r="A174" s="70"/>
      <c r="B174" s="79" t="s">
        <v>99</v>
      </c>
      <c r="C174" s="74"/>
      <c r="D174" s="74">
        <v>518</v>
      </c>
      <c r="E174" s="117"/>
      <c r="F174" s="74">
        <f t="shared" si="7"/>
        <v>518</v>
      </c>
    </row>
    <row r="175" spans="1:6" ht="18.75" customHeight="1">
      <c r="A175" s="70"/>
      <c r="B175" s="79" t="s">
        <v>103</v>
      </c>
      <c r="C175" s="74"/>
      <c r="D175" s="74">
        <v>500</v>
      </c>
      <c r="E175" s="117"/>
      <c r="F175" s="74">
        <f t="shared" si="7"/>
        <v>500</v>
      </c>
    </row>
    <row r="176" spans="1:6" ht="31.5" customHeight="1">
      <c r="A176" s="70"/>
      <c r="B176" s="79" t="s">
        <v>582</v>
      </c>
      <c r="C176" s="74"/>
      <c r="D176" s="74">
        <v>4000</v>
      </c>
      <c r="E176" s="117"/>
      <c r="F176" s="74">
        <f t="shared" si="7"/>
        <v>4000</v>
      </c>
    </row>
    <row r="177" spans="1:6" ht="31.5" customHeight="1">
      <c r="A177" s="70"/>
      <c r="B177" s="79" t="s">
        <v>633</v>
      </c>
      <c r="C177" s="74"/>
      <c r="D177" s="74">
        <v>2500</v>
      </c>
      <c r="E177" s="117"/>
      <c r="F177" s="74">
        <f t="shared" si="7"/>
        <v>2500</v>
      </c>
    </row>
    <row r="178" spans="1:6" ht="15" customHeight="1">
      <c r="A178" s="70"/>
      <c r="B178" s="79" t="s">
        <v>32</v>
      </c>
      <c r="C178" s="74"/>
      <c r="D178" s="74">
        <v>15072</v>
      </c>
      <c r="E178" s="117"/>
      <c r="F178" s="74">
        <f t="shared" si="7"/>
        <v>15072</v>
      </c>
    </row>
    <row r="179" spans="1:6" ht="15" customHeight="1">
      <c r="A179" s="70"/>
      <c r="B179" s="79" t="s">
        <v>569</v>
      </c>
      <c r="C179" s="74"/>
      <c r="D179" s="74">
        <v>2233</v>
      </c>
      <c r="E179" s="117"/>
      <c r="F179" s="74">
        <f t="shared" si="7"/>
        <v>2233</v>
      </c>
    </row>
    <row r="180" spans="1:6" ht="15" customHeight="1">
      <c r="A180" s="70"/>
      <c r="B180" s="79" t="s">
        <v>585</v>
      </c>
      <c r="C180" s="74"/>
      <c r="D180" s="74">
        <v>3800</v>
      </c>
      <c r="E180" s="117"/>
      <c r="F180" s="74">
        <f t="shared" si="7"/>
        <v>3800</v>
      </c>
    </row>
    <row r="181" spans="1:6" ht="15" customHeight="1">
      <c r="A181" s="70"/>
      <c r="B181" s="79" t="s">
        <v>112</v>
      </c>
      <c r="C181" s="74"/>
      <c r="D181" s="67">
        <v>150</v>
      </c>
      <c r="E181" s="117"/>
      <c r="F181" s="74">
        <f t="shared" si="7"/>
        <v>150</v>
      </c>
    </row>
    <row r="182" spans="1:6" ht="15" customHeight="1">
      <c r="A182" s="70"/>
      <c r="B182" s="79" t="s">
        <v>586</v>
      </c>
      <c r="C182" s="74"/>
      <c r="D182" s="74">
        <v>2201</v>
      </c>
      <c r="E182" s="117"/>
      <c r="F182" s="74">
        <f t="shared" si="7"/>
        <v>2201</v>
      </c>
    </row>
    <row r="183" spans="1:6" ht="15" customHeight="1">
      <c r="A183" s="70"/>
      <c r="B183" s="79" t="s">
        <v>114</v>
      </c>
      <c r="C183" s="74"/>
      <c r="D183" s="74">
        <v>1000</v>
      </c>
      <c r="E183" s="117"/>
      <c r="F183" s="74">
        <f t="shared" si="7"/>
        <v>1000</v>
      </c>
    </row>
    <row r="184" spans="1:6" ht="15" customHeight="1">
      <c r="A184" s="70"/>
      <c r="B184" s="79" t="s">
        <v>243</v>
      </c>
      <c r="C184" s="74"/>
      <c r="D184" s="74">
        <v>552</v>
      </c>
      <c r="E184" s="117"/>
      <c r="F184" s="74">
        <f t="shared" si="8" ref="F184:F244">D184</f>
        <v>552</v>
      </c>
    </row>
    <row r="185" spans="1:6" ht="17.25" customHeight="1">
      <c r="A185" s="70"/>
      <c r="B185" s="79" t="s">
        <v>584</v>
      </c>
      <c r="C185" s="74"/>
      <c r="D185" s="74">
        <v>1309</v>
      </c>
      <c r="E185" s="117"/>
      <c r="F185" s="74">
        <f t="shared" si="8"/>
        <v>1309</v>
      </c>
    </row>
    <row r="186" spans="1:6" ht="15" customHeight="1">
      <c r="A186" s="70"/>
      <c r="B186" s="79" t="s">
        <v>124</v>
      </c>
      <c r="C186" s="74"/>
      <c r="D186" s="74">
        <v>877</v>
      </c>
      <c r="E186" s="117"/>
      <c r="F186" s="74">
        <f t="shared" si="8"/>
        <v>877</v>
      </c>
    </row>
    <row r="187" spans="1:6" ht="15" customHeight="1">
      <c r="A187" s="70"/>
      <c r="B187" s="79" t="s">
        <v>579</v>
      </c>
      <c r="C187" s="74"/>
      <c r="D187" s="74">
        <v>2700</v>
      </c>
      <c r="E187" s="117"/>
      <c r="F187" s="74">
        <f t="shared" si="8"/>
        <v>2700</v>
      </c>
    </row>
    <row r="188" spans="1:6" ht="15" customHeight="1">
      <c r="A188" s="71" t="s">
        <v>410</v>
      </c>
      <c r="B188" s="71" t="s">
        <v>411</v>
      </c>
      <c r="C188" s="73"/>
      <c r="D188" s="73">
        <f>SUM(D189:D191)</f>
        <v>2465</v>
      </c>
      <c r="E188" s="116"/>
      <c r="F188" s="73">
        <f t="shared" si="8"/>
        <v>2465</v>
      </c>
    </row>
    <row r="189" spans="1:6" s="64" customFormat="1" ht="15" customHeight="1">
      <c r="A189" s="70"/>
      <c r="B189" s="80" t="s">
        <v>395</v>
      </c>
      <c r="C189" s="74"/>
      <c r="D189" s="74">
        <v>800</v>
      </c>
      <c r="E189" s="117"/>
      <c r="F189" s="74">
        <f t="shared" si="8"/>
        <v>800</v>
      </c>
    </row>
    <row r="190" spans="1:6" s="65" customFormat="1" ht="21" customHeight="1">
      <c r="A190" s="70"/>
      <c r="B190" s="69" t="s">
        <v>618</v>
      </c>
      <c r="C190" s="74"/>
      <c r="D190" s="74">
        <v>1400</v>
      </c>
      <c r="E190" s="117"/>
      <c r="F190" s="74">
        <f t="shared" si="8"/>
        <v>1400</v>
      </c>
    </row>
    <row r="191" spans="1:6" ht="20.25" customHeight="1">
      <c r="A191" s="70"/>
      <c r="B191" s="69" t="s">
        <v>77</v>
      </c>
      <c r="C191" s="74"/>
      <c r="D191" s="74">
        <v>265</v>
      </c>
      <c r="E191" s="117"/>
      <c r="F191" s="74">
        <f t="shared" si="8"/>
        <v>265</v>
      </c>
    </row>
    <row r="192" spans="1:6" ht="15" customHeight="1">
      <c r="A192" s="71" t="s">
        <v>412</v>
      </c>
      <c r="B192" s="71" t="s">
        <v>413</v>
      </c>
      <c r="C192" s="73"/>
      <c r="D192" s="73">
        <v>350000</v>
      </c>
      <c r="E192" s="116"/>
      <c r="F192" s="73">
        <f t="shared" si="8"/>
        <v>350000</v>
      </c>
    </row>
    <row r="193" spans="1:6" ht="15" customHeight="1">
      <c r="A193" s="71" t="s">
        <v>414</v>
      </c>
      <c r="B193" s="71" t="s">
        <v>415</v>
      </c>
      <c r="C193" s="73"/>
      <c r="D193" s="73">
        <f>SUM(D194:D212)</f>
        <v>60656</v>
      </c>
      <c r="E193" s="116"/>
      <c r="F193" s="73">
        <f t="shared" si="8"/>
        <v>60656</v>
      </c>
    </row>
    <row r="194" spans="1:6" ht="15" customHeight="1">
      <c r="A194" s="70"/>
      <c r="B194" s="69" t="s">
        <v>435</v>
      </c>
      <c r="C194" s="74"/>
      <c r="D194" s="74">
        <v>17000</v>
      </c>
      <c r="E194" s="117"/>
      <c r="F194" s="74">
        <f t="shared" si="8"/>
        <v>17000</v>
      </c>
    </row>
    <row r="195" spans="1:6" ht="15" customHeight="1">
      <c r="A195" s="70"/>
      <c r="B195" s="70" t="s">
        <v>579</v>
      </c>
      <c r="C195" s="74"/>
      <c r="D195" s="74">
        <v>11780</v>
      </c>
      <c r="E195" s="117"/>
      <c r="F195" s="74">
        <f t="shared" si="8"/>
        <v>11780</v>
      </c>
    </row>
    <row r="196" spans="1:6" ht="15" customHeight="1">
      <c r="A196" s="70"/>
      <c r="B196" s="70" t="s">
        <v>360</v>
      </c>
      <c r="C196" s="74"/>
      <c r="D196" s="74">
        <v>5534</v>
      </c>
      <c r="E196" s="117"/>
      <c r="F196" s="74">
        <f t="shared" si="8"/>
        <v>5534</v>
      </c>
    </row>
    <row r="197" spans="1:6" ht="15" customHeight="1">
      <c r="A197" s="70"/>
      <c r="B197" s="70" t="s">
        <v>592</v>
      </c>
      <c r="C197" s="74"/>
      <c r="D197" s="74">
        <v>552</v>
      </c>
      <c r="E197" s="117"/>
      <c r="F197" s="74">
        <f t="shared" si="8"/>
        <v>552</v>
      </c>
    </row>
    <row r="198" spans="1:6" ht="32.25" customHeight="1">
      <c r="A198" s="70"/>
      <c r="B198" s="69" t="s">
        <v>445</v>
      </c>
      <c r="C198" s="74"/>
      <c r="D198" s="74">
        <v>283</v>
      </c>
      <c r="E198" s="117"/>
      <c r="F198" s="74">
        <f t="shared" si="8"/>
        <v>283</v>
      </c>
    </row>
    <row r="199" spans="1:6" ht="15" customHeight="1">
      <c r="A199" s="70"/>
      <c r="B199" s="70" t="s">
        <v>10</v>
      </c>
      <c r="C199" s="74"/>
      <c r="D199" s="74">
        <v>100</v>
      </c>
      <c r="E199" s="117"/>
      <c r="F199" s="74">
        <f t="shared" si="8"/>
        <v>100</v>
      </c>
    </row>
    <row r="200" spans="1:6" ht="18.75" customHeight="1">
      <c r="A200" s="70"/>
      <c r="B200" s="69" t="s">
        <v>16</v>
      </c>
      <c r="C200" s="74"/>
      <c r="D200" s="67">
        <v>781</v>
      </c>
      <c r="E200" s="117"/>
      <c r="F200" s="74">
        <f t="shared" si="8"/>
        <v>781</v>
      </c>
    </row>
    <row r="201" spans="1:6" ht="15" customHeight="1">
      <c r="A201" s="70"/>
      <c r="B201" s="70" t="s">
        <v>18</v>
      </c>
      <c r="C201" s="74"/>
      <c r="D201" s="67">
        <v>67</v>
      </c>
      <c r="E201" s="117"/>
      <c r="F201" s="74">
        <f t="shared" si="8"/>
        <v>67</v>
      </c>
    </row>
    <row r="202" spans="1:6" ht="15" customHeight="1">
      <c r="A202" s="70"/>
      <c r="B202" s="70" t="s">
        <v>11</v>
      </c>
      <c r="C202" s="74"/>
      <c r="D202" s="67">
        <v>66</v>
      </c>
      <c r="E202" s="117"/>
      <c r="F202" s="74">
        <f t="shared" si="8"/>
        <v>66</v>
      </c>
    </row>
    <row r="203" spans="1:6" ht="15" customHeight="1">
      <c r="A203" s="70"/>
      <c r="B203" s="70" t="s">
        <v>587</v>
      </c>
      <c r="C203" s="74"/>
      <c r="D203" s="67">
        <v>937</v>
      </c>
      <c r="E203" s="117"/>
      <c r="F203" s="74">
        <f t="shared" si="8"/>
        <v>937</v>
      </c>
    </row>
    <row r="204" spans="1:6" ht="15" customHeight="1">
      <c r="A204" s="70"/>
      <c r="B204" s="70" t="s">
        <v>13</v>
      </c>
      <c r="C204" s="74"/>
      <c r="D204" s="74">
        <f>2244+190</f>
        <v>2434</v>
      </c>
      <c r="E204" s="117"/>
      <c r="F204" s="74">
        <f t="shared" si="8"/>
        <v>2434</v>
      </c>
    </row>
    <row r="205" spans="1:6" ht="15" customHeight="1">
      <c r="A205" s="70"/>
      <c r="B205" s="70" t="s">
        <v>255</v>
      </c>
      <c r="C205" s="74"/>
      <c r="D205" s="74">
        <v>7090</v>
      </c>
      <c r="E205" s="117"/>
      <c r="F205" s="74">
        <f t="shared" si="8"/>
        <v>7090</v>
      </c>
    </row>
    <row r="206" spans="1:6" ht="17.25" customHeight="1">
      <c r="A206" s="70"/>
      <c r="B206" s="69" t="s">
        <v>93</v>
      </c>
      <c r="C206" s="74"/>
      <c r="D206" s="74">
        <f>1775+750</f>
        <v>2525</v>
      </c>
      <c r="E206" s="117"/>
      <c r="F206" s="74">
        <f t="shared" si="8"/>
        <v>2525</v>
      </c>
    </row>
    <row r="207" spans="1:6" ht="20.25" customHeight="1">
      <c r="A207" s="70"/>
      <c r="B207" s="70" t="s">
        <v>92</v>
      </c>
      <c r="C207" s="74"/>
      <c r="D207" s="74">
        <v>3461</v>
      </c>
      <c r="E207" s="117"/>
      <c r="F207" s="74">
        <f t="shared" si="8"/>
        <v>3461</v>
      </c>
    </row>
    <row r="208" spans="1:6" ht="20.25" customHeight="1">
      <c r="A208" s="70"/>
      <c r="B208" s="70" t="s">
        <v>663</v>
      </c>
      <c r="C208" s="74"/>
      <c r="D208" s="74">
        <v>56</v>
      </c>
      <c r="E208" s="117"/>
      <c r="F208" s="74">
        <f t="shared" si="8"/>
        <v>56</v>
      </c>
    </row>
    <row r="209" spans="1:6" ht="15" customHeight="1">
      <c r="A209" s="70"/>
      <c r="B209" s="70" t="s">
        <v>257</v>
      </c>
      <c r="C209" s="74"/>
      <c r="D209" s="74">
        <v>240</v>
      </c>
      <c r="E209" s="117"/>
      <c r="F209" s="74">
        <f t="shared" si="8"/>
        <v>240</v>
      </c>
    </row>
    <row r="210" spans="1:6" ht="15" customHeight="1">
      <c r="A210" s="70"/>
      <c r="B210" s="69" t="s">
        <v>137</v>
      </c>
      <c r="C210" s="74"/>
      <c r="D210" s="74">
        <f>150+1600</f>
        <v>1750</v>
      </c>
      <c r="E210" s="117"/>
      <c r="F210" s="74">
        <f t="shared" si="8"/>
        <v>1750</v>
      </c>
    </row>
    <row r="211" spans="1:6" ht="14.25" customHeight="1">
      <c r="A211" s="70"/>
      <c r="B211" s="70" t="s">
        <v>667</v>
      </c>
      <c r="C211" s="74"/>
      <c r="D211" s="74">
        <v>2650</v>
      </c>
      <c r="E211" s="117"/>
      <c r="F211" s="74">
        <f t="shared" si="8"/>
        <v>2650</v>
      </c>
    </row>
    <row r="212" spans="1:6" ht="15" customHeight="1">
      <c r="A212" s="70"/>
      <c r="B212" s="70" t="s">
        <v>661</v>
      </c>
      <c r="C212" s="74"/>
      <c r="D212" s="74">
        <v>3350</v>
      </c>
      <c r="E212" s="117"/>
      <c r="F212" s="74">
        <f t="shared" si="8"/>
        <v>3350</v>
      </c>
    </row>
    <row r="213" spans="1:6" s="64" customFormat="1" ht="32.25" customHeight="1">
      <c r="A213" s="71" t="s">
        <v>416</v>
      </c>
      <c r="B213" s="72" t="s">
        <v>417</v>
      </c>
      <c r="C213" s="73"/>
      <c r="D213" s="73">
        <f>D214+D221+D231+D253+D337</f>
        <v>4897541</v>
      </c>
      <c r="E213" s="117"/>
      <c r="F213" s="73">
        <f>D213</f>
        <v>4897541</v>
      </c>
    </row>
    <row r="214" spans="1:6" ht="32.25" customHeight="1">
      <c r="A214" s="71" t="s">
        <v>418</v>
      </c>
      <c r="B214" s="72" t="s">
        <v>419</v>
      </c>
      <c r="C214" s="73"/>
      <c r="D214" s="73">
        <f>SUM(D215:D220)</f>
        <v>2141352</v>
      </c>
      <c r="E214" s="116"/>
      <c r="F214" s="73">
        <f t="shared" si="8"/>
        <v>2141352</v>
      </c>
    </row>
    <row r="215" spans="1:6" ht="15" customHeight="1">
      <c r="A215" s="70"/>
      <c r="B215" s="69" t="s">
        <v>37</v>
      </c>
      <c r="C215" s="74"/>
      <c r="D215" s="67">
        <v>1521164</v>
      </c>
      <c r="E215" s="117"/>
      <c r="F215" s="74">
        <f t="shared" si="8"/>
        <v>1521164</v>
      </c>
    </row>
    <row r="216" spans="1:6" ht="15" customHeight="1">
      <c r="A216" s="70"/>
      <c r="B216" s="69" t="s">
        <v>67</v>
      </c>
      <c r="C216" s="74"/>
      <c r="D216" s="74">
        <v>10796</v>
      </c>
      <c r="E216" s="117"/>
      <c r="F216" s="74">
        <f t="shared" si="8"/>
        <v>10796</v>
      </c>
    </row>
    <row r="217" spans="1:6" ht="15" customHeight="1">
      <c r="A217" s="70"/>
      <c r="B217" s="69" t="s">
        <v>386</v>
      </c>
      <c r="C217" s="74"/>
      <c r="D217" s="67">
        <v>243177</v>
      </c>
      <c r="E217" s="117"/>
      <c r="F217" s="74">
        <f t="shared" si="8"/>
        <v>243177</v>
      </c>
    </row>
    <row r="218" spans="1:6" ht="15" customHeight="1">
      <c r="A218" s="70"/>
      <c r="B218" s="79" t="s">
        <v>80</v>
      </c>
      <c r="C218" s="74"/>
      <c r="D218" s="74">
        <v>201956</v>
      </c>
      <c r="E218" s="117"/>
      <c r="F218" s="74">
        <f t="shared" si="8"/>
        <v>201956</v>
      </c>
    </row>
    <row r="219" spans="1:6" ht="15" customHeight="1">
      <c r="A219" s="70"/>
      <c r="B219" s="79" t="s">
        <v>81</v>
      </c>
      <c r="C219" s="74"/>
      <c r="D219" s="74">
        <v>153448</v>
      </c>
      <c r="E219" s="117"/>
      <c r="F219" s="74">
        <f t="shared" si="8"/>
        <v>153448</v>
      </c>
    </row>
    <row r="220" spans="1:6" ht="15" customHeight="1">
      <c r="A220" s="70"/>
      <c r="B220" s="79" t="s">
        <v>360</v>
      </c>
      <c r="C220" s="74"/>
      <c r="D220" s="74">
        <v>10811</v>
      </c>
      <c r="E220" s="117"/>
      <c r="F220" s="74">
        <f t="shared" si="8"/>
        <v>10811</v>
      </c>
    </row>
    <row r="221" spans="1:6" s="64" customFormat="1" ht="29.25" customHeight="1">
      <c r="A221" s="71" t="s">
        <v>420</v>
      </c>
      <c r="B221" s="72" t="s">
        <v>421</v>
      </c>
      <c r="C221" s="73"/>
      <c r="D221" s="73">
        <f>SUM(D222:D230)</f>
        <v>550</v>
      </c>
      <c r="E221" s="116"/>
      <c r="F221" s="73">
        <f t="shared" si="8"/>
        <v>550</v>
      </c>
    </row>
    <row r="222" spans="1:6" ht="15" customHeight="1">
      <c r="A222" s="70"/>
      <c r="B222" s="79" t="s">
        <v>20</v>
      </c>
      <c r="C222" s="74"/>
      <c r="D222" s="74">
        <v>150</v>
      </c>
      <c r="E222" s="117"/>
      <c r="F222" s="74">
        <f t="shared" si="8"/>
        <v>150</v>
      </c>
    </row>
    <row r="223" spans="1:6" ht="15" customHeight="1">
      <c r="A223" s="70"/>
      <c r="B223" s="79" t="s">
        <v>422</v>
      </c>
      <c r="C223" s="74"/>
      <c r="D223" s="74">
        <v>50</v>
      </c>
      <c r="E223" s="117"/>
      <c r="F223" s="74">
        <f t="shared" si="8"/>
        <v>50</v>
      </c>
    </row>
    <row r="224" spans="1:6" ht="15" customHeight="1">
      <c r="A224" s="70"/>
      <c r="B224" s="79" t="s">
        <v>96</v>
      </c>
      <c r="C224" s="74"/>
      <c r="D224" s="74">
        <v>50</v>
      </c>
      <c r="E224" s="117"/>
      <c r="F224" s="74">
        <f t="shared" si="8"/>
        <v>50</v>
      </c>
    </row>
    <row r="225" spans="1:6" ht="15" customHeight="1">
      <c r="A225" s="70"/>
      <c r="B225" s="69" t="s">
        <v>423</v>
      </c>
      <c r="C225" s="74"/>
      <c r="D225" s="74">
        <v>50</v>
      </c>
      <c r="E225" s="117"/>
      <c r="F225" s="74">
        <f t="shared" si="8"/>
        <v>50</v>
      </c>
    </row>
    <row r="226" spans="1:6" ht="15" customHeight="1">
      <c r="A226" s="70"/>
      <c r="B226" s="79" t="s">
        <v>379</v>
      </c>
      <c r="C226" s="74"/>
      <c r="D226" s="74">
        <v>50</v>
      </c>
      <c r="E226" s="117"/>
      <c r="F226" s="74">
        <f t="shared" si="8"/>
        <v>50</v>
      </c>
    </row>
    <row r="227" spans="1:6" ht="15" customHeight="1">
      <c r="A227" s="70"/>
      <c r="B227" s="79" t="s">
        <v>424</v>
      </c>
      <c r="C227" s="74"/>
      <c r="D227" s="74">
        <v>50</v>
      </c>
      <c r="E227" s="117"/>
      <c r="F227" s="74">
        <f t="shared" si="8"/>
        <v>50</v>
      </c>
    </row>
    <row r="228" spans="1:6" ht="15" customHeight="1">
      <c r="A228" s="70"/>
      <c r="B228" s="79" t="s">
        <v>78</v>
      </c>
      <c r="C228" s="74"/>
      <c r="D228" s="74">
        <v>50</v>
      </c>
      <c r="E228" s="117"/>
      <c r="F228" s="74">
        <f t="shared" si="8"/>
        <v>50</v>
      </c>
    </row>
    <row r="229" spans="1:6" ht="15" customHeight="1">
      <c r="A229" s="70"/>
      <c r="B229" s="79" t="s">
        <v>425</v>
      </c>
      <c r="C229" s="74"/>
      <c r="D229" s="74">
        <v>50</v>
      </c>
      <c r="E229" s="117"/>
      <c r="F229" s="74">
        <f t="shared" si="8"/>
        <v>50</v>
      </c>
    </row>
    <row r="230" spans="1:6" ht="15" customHeight="1">
      <c r="A230" s="70"/>
      <c r="B230" s="79" t="s">
        <v>426</v>
      </c>
      <c r="C230" s="74"/>
      <c r="D230" s="74">
        <v>50</v>
      </c>
      <c r="E230" s="117"/>
      <c r="F230" s="74">
        <f t="shared" si="8"/>
        <v>50</v>
      </c>
    </row>
    <row r="231" spans="1:6" ht="15" customHeight="1">
      <c r="A231" s="71" t="s">
        <v>427</v>
      </c>
      <c r="B231" s="71" t="s">
        <v>428</v>
      </c>
      <c r="C231" s="73"/>
      <c r="D231" s="73">
        <f>SUM(D232:D252)</f>
        <v>88859</v>
      </c>
      <c r="E231" s="116"/>
      <c r="F231" s="73">
        <f t="shared" si="8"/>
        <v>88859</v>
      </c>
    </row>
    <row r="232" spans="1:6" ht="15" customHeight="1">
      <c r="A232" s="70"/>
      <c r="B232" s="80" t="s">
        <v>588</v>
      </c>
      <c r="C232" s="74"/>
      <c r="D232" s="74">
        <v>45454</v>
      </c>
      <c r="E232" s="117"/>
      <c r="F232" s="74">
        <f t="shared" si="8"/>
        <v>45454</v>
      </c>
    </row>
    <row r="233" spans="1:6" ht="15" customHeight="1">
      <c r="A233" s="70"/>
      <c r="B233" s="80" t="s">
        <v>589</v>
      </c>
      <c r="C233" s="74"/>
      <c r="D233" s="74">
        <v>2390</v>
      </c>
      <c r="E233" s="117"/>
      <c r="F233" s="74">
        <f t="shared" si="8"/>
        <v>2390</v>
      </c>
    </row>
    <row r="234" spans="1:6" ht="15" customHeight="1">
      <c r="A234" s="70"/>
      <c r="B234" s="80" t="s">
        <v>429</v>
      </c>
      <c r="C234" s="74"/>
      <c r="D234" s="74">
        <v>4350</v>
      </c>
      <c r="E234" s="117"/>
      <c r="F234" s="74">
        <f t="shared" si="8"/>
        <v>4350</v>
      </c>
    </row>
    <row r="235" spans="1:6" ht="15" customHeight="1">
      <c r="A235" s="70"/>
      <c r="B235" s="80" t="s">
        <v>227</v>
      </c>
      <c r="C235" s="74"/>
      <c r="D235" s="74">
        <v>650</v>
      </c>
      <c r="E235" s="117"/>
      <c r="F235" s="74">
        <f t="shared" si="8"/>
        <v>650</v>
      </c>
    </row>
    <row r="236" spans="1:6" ht="15" customHeight="1">
      <c r="A236" s="70"/>
      <c r="B236" s="80" t="s">
        <v>24</v>
      </c>
      <c r="C236" s="74"/>
      <c r="D236" s="74">
        <v>460</v>
      </c>
      <c r="E236" s="117"/>
      <c r="F236" s="74">
        <f t="shared" si="8"/>
        <v>460</v>
      </c>
    </row>
    <row r="237" spans="1:6" ht="15" customHeight="1">
      <c r="A237" s="70"/>
      <c r="B237" s="80" t="s">
        <v>430</v>
      </c>
      <c r="C237" s="74"/>
      <c r="D237" s="74">
        <v>3715</v>
      </c>
      <c r="E237" s="117"/>
      <c r="F237" s="74">
        <f t="shared" si="8"/>
        <v>3715</v>
      </c>
    </row>
    <row r="238" spans="1:6" ht="15" customHeight="1">
      <c r="A238" s="70"/>
      <c r="B238" s="80" t="s">
        <v>375</v>
      </c>
      <c r="C238" s="74"/>
      <c r="D238" s="74">
        <v>3150</v>
      </c>
      <c r="E238" s="117"/>
      <c r="F238" s="74">
        <f t="shared" si="8"/>
        <v>3150</v>
      </c>
    </row>
    <row r="239" spans="1:6" ht="15" customHeight="1">
      <c r="A239" s="70"/>
      <c r="B239" s="80" t="s">
        <v>102</v>
      </c>
      <c r="C239" s="74"/>
      <c r="D239" s="74">
        <v>3900</v>
      </c>
      <c r="E239" s="117"/>
      <c r="F239" s="74">
        <f t="shared" si="8"/>
        <v>3900</v>
      </c>
    </row>
    <row r="240" spans="1:6" ht="15" customHeight="1">
      <c r="A240" s="70"/>
      <c r="B240" s="80" t="s">
        <v>144</v>
      </c>
      <c r="C240" s="74"/>
      <c r="D240" s="74">
        <v>430</v>
      </c>
      <c r="E240" s="117"/>
      <c r="F240" s="74">
        <f t="shared" si="8"/>
        <v>430</v>
      </c>
    </row>
    <row r="241" spans="1:6" ht="15" customHeight="1">
      <c r="A241" s="70"/>
      <c r="B241" s="80" t="s">
        <v>577</v>
      </c>
      <c r="C241" s="74"/>
      <c r="D241" s="74">
        <v>50</v>
      </c>
      <c r="E241" s="117"/>
      <c r="F241" s="74">
        <f t="shared" si="8"/>
        <v>50</v>
      </c>
    </row>
    <row r="242" spans="1:6" ht="15" customHeight="1">
      <c r="A242" s="70"/>
      <c r="B242" s="80" t="s">
        <v>431</v>
      </c>
      <c r="C242" s="74"/>
      <c r="D242" s="74">
        <v>3280</v>
      </c>
      <c r="E242" s="117"/>
      <c r="F242" s="74">
        <f t="shared" si="8"/>
        <v>3280</v>
      </c>
    </row>
    <row r="243" spans="1:6" s="64" customFormat="1" ht="24" customHeight="1">
      <c r="A243" s="70"/>
      <c r="B243" s="80" t="s">
        <v>154</v>
      </c>
      <c r="C243" s="74"/>
      <c r="D243" s="74">
        <v>2500</v>
      </c>
      <c r="E243" s="117"/>
      <c r="F243" s="74">
        <f t="shared" si="8"/>
        <v>2500</v>
      </c>
    </row>
    <row r="244" spans="1:6" s="64" customFormat="1" ht="15" customHeight="1">
      <c r="A244" s="70"/>
      <c r="B244" s="80" t="s">
        <v>376</v>
      </c>
      <c r="C244" s="74"/>
      <c r="D244" s="74">
        <v>470</v>
      </c>
      <c r="E244" s="117"/>
      <c r="F244" s="74">
        <f t="shared" si="8"/>
        <v>470</v>
      </c>
    </row>
    <row r="245" spans="1:6" s="65" customFormat="1" ht="15" customHeight="1">
      <c r="A245" s="70"/>
      <c r="B245" s="80" t="s">
        <v>26</v>
      </c>
      <c r="C245" s="74"/>
      <c r="D245" s="74">
        <v>665</v>
      </c>
      <c r="E245" s="117"/>
      <c r="F245" s="74">
        <f t="shared" si="9" ref="F245:F307">D245</f>
        <v>665</v>
      </c>
    </row>
    <row r="246" spans="1:6" ht="24.75" customHeight="1">
      <c r="A246" s="70"/>
      <c r="B246" s="80" t="s">
        <v>100</v>
      </c>
      <c r="C246" s="74"/>
      <c r="D246" s="74">
        <v>9300</v>
      </c>
      <c r="E246" s="117"/>
      <c r="F246" s="74">
        <f t="shared" si="9"/>
        <v>9300</v>
      </c>
    </row>
    <row r="247" spans="1:6" ht="15" customHeight="1">
      <c r="A247" s="70"/>
      <c r="B247" s="80" t="s">
        <v>99</v>
      </c>
      <c r="C247" s="74"/>
      <c r="D247" s="74">
        <v>1885</v>
      </c>
      <c r="E247" s="117"/>
      <c r="F247" s="74">
        <f t="shared" si="9"/>
        <v>1885</v>
      </c>
    </row>
    <row r="248" spans="1:6" ht="15" customHeight="1">
      <c r="A248" s="70"/>
      <c r="B248" s="80" t="s">
        <v>65</v>
      </c>
      <c r="C248" s="74"/>
      <c r="D248" s="74">
        <v>1900</v>
      </c>
      <c r="E248" s="117"/>
      <c r="F248" s="74">
        <f t="shared" si="9"/>
        <v>1900</v>
      </c>
    </row>
    <row r="249" spans="1:6" ht="15" customHeight="1">
      <c r="A249" s="70"/>
      <c r="B249" s="80" t="s">
        <v>97</v>
      </c>
      <c r="C249" s="74"/>
      <c r="D249" s="74">
        <v>400</v>
      </c>
      <c r="E249" s="117"/>
      <c r="F249" s="74">
        <f t="shared" si="9"/>
        <v>400</v>
      </c>
    </row>
    <row r="250" spans="1:6" ht="15" customHeight="1">
      <c r="A250" s="70"/>
      <c r="B250" s="80" t="s">
        <v>83</v>
      </c>
      <c r="C250" s="74"/>
      <c r="D250" s="74">
        <v>370</v>
      </c>
      <c r="E250" s="117"/>
      <c r="F250" s="74">
        <f t="shared" si="9"/>
        <v>370</v>
      </c>
    </row>
    <row r="251" spans="1:6" ht="19.5" customHeight="1">
      <c r="A251" s="70"/>
      <c r="B251" s="80" t="s">
        <v>103</v>
      </c>
      <c r="C251" s="74"/>
      <c r="D251" s="74">
        <v>1540</v>
      </c>
      <c r="E251" s="117"/>
      <c r="F251" s="74">
        <f t="shared" si="9"/>
        <v>1540</v>
      </c>
    </row>
    <row r="252" spans="1:6" ht="15" customHeight="1">
      <c r="A252" s="70"/>
      <c r="B252" s="80" t="s">
        <v>432</v>
      </c>
      <c r="C252" s="74"/>
      <c r="D252" s="74">
        <v>2000</v>
      </c>
      <c r="E252" s="117"/>
      <c r="F252" s="74">
        <f t="shared" si="9"/>
        <v>2000</v>
      </c>
    </row>
    <row r="253" spans="1:6" ht="33" customHeight="1">
      <c r="A253" s="71" t="s">
        <v>433</v>
      </c>
      <c r="B253" s="72" t="s">
        <v>434</v>
      </c>
      <c r="C253" s="73"/>
      <c r="D253" s="73">
        <f>D256+D328+D254</f>
        <v>2350090</v>
      </c>
      <c r="E253" s="73">
        <f>E256+E328</f>
        <v>0</v>
      </c>
      <c r="F253" s="73">
        <f t="shared" si="9"/>
        <v>2350090</v>
      </c>
    </row>
    <row r="254" spans="1:6" ht="33" customHeight="1">
      <c r="A254" s="71" t="s">
        <v>636</v>
      </c>
      <c r="B254" s="72" t="s">
        <v>637</v>
      </c>
      <c r="C254" s="73"/>
      <c r="D254" s="73">
        <f>D255</f>
        <v>16294</v>
      </c>
      <c r="E254" s="73"/>
      <c r="F254" s="73">
        <f>D254</f>
        <v>16294</v>
      </c>
    </row>
    <row r="255" spans="1:6" ht="33" customHeight="1">
      <c r="A255" s="71"/>
      <c r="B255" s="69" t="s">
        <v>436</v>
      </c>
      <c r="C255" s="73"/>
      <c r="D255" s="74">
        <f>16294</f>
        <v>16294</v>
      </c>
      <c r="E255" s="73"/>
      <c r="F255" s="73">
        <f t="shared" si="9"/>
        <v>16294</v>
      </c>
    </row>
    <row r="256" spans="1:6" ht="30" customHeight="1">
      <c r="A256" s="71" t="s">
        <v>437</v>
      </c>
      <c r="B256" s="72" t="s">
        <v>438</v>
      </c>
      <c r="C256" s="73"/>
      <c r="D256" s="73">
        <f>SUM(D257:D327)</f>
        <v>1473802</v>
      </c>
      <c r="E256" s="73">
        <f>SUM(E257:E327)</f>
        <v>0</v>
      </c>
      <c r="F256" s="73">
        <f>D256</f>
        <v>1473802</v>
      </c>
    </row>
    <row r="257" spans="1:6" ht="20.25" customHeight="1">
      <c r="A257" s="70"/>
      <c r="B257" s="69" t="s">
        <v>435</v>
      </c>
      <c r="C257" s="74"/>
      <c r="D257" s="74">
        <v>7240</v>
      </c>
      <c r="E257" s="117"/>
      <c r="F257" s="74">
        <f t="shared" si="9"/>
        <v>7240</v>
      </c>
    </row>
    <row r="258" spans="1:6" ht="15" customHeight="1">
      <c r="A258" s="70"/>
      <c r="B258" s="79" t="s">
        <v>408</v>
      </c>
      <c r="C258" s="74"/>
      <c r="D258" s="74">
        <v>4200</v>
      </c>
      <c r="E258" s="117"/>
      <c r="F258" s="74">
        <f t="shared" si="9"/>
        <v>4200</v>
      </c>
    </row>
    <row r="259" spans="1:6" ht="15" customHeight="1">
      <c r="A259" s="70"/>
      <c r="B259" s="79" t="s">
        <v>591</v>
      </c>
      <c r="C259" s="74"/>
      <c r="D259" s="74">
        <f>242485+337442+264824</f>
        <v>844751</v>
      </c>
      <c r="E259" s="117"/>
      <c r="F259" s="74">
        <f t="shared" si="9"/>
        <v>844751</v>
      </c>
    </row>
    <row r="260" spans="1:6" ht="15" customHeight="1">
      <c r="A260" s="70"/>
      <c r="B260" s="79" t="s">
        <v>588</v>
      </c>
      <c r="C260" s="74"/>
      <c r="D260" s="74">
        <v>1265</v>
      </c>
      <c r="E260" s="117"/>
      <c r="F260" s="74">
        <f t="shared" si="9"/>
        <v>1265</v>
      </c>
    </row>
    <row r="261" spans="1:6" ht="15" customHeight="1">
      <c r="A261" s="70"/>
      <c r="B261" s="79" t="s">
        <v>590</v>
      </c>
      <c r="C261" s="74"/>
      <c r="D261" s="74">
        <v>5000</v>
      </c>
      <c r="E261" s="117"/>
      <c r="F261" s="74">
        <f t="shared" si="9"/>
        <v>5000</v>
      </c>
    </row>
    <row r="262" spans="1:6" ht="15" customHeight="1">
      <c r="A262" s="70"/>
      <c r="B262" s="79" t="s">
        <v>633</v>
      </c>
      <c r="C262" s="74"/>
      <c r="D262" s="74">
        <v>13500</v>
      </c>
      <c r="E262" s="117"/>
      <c r="F262" s="74">
        <f t="shared" si="9"/>
        <v>13500</v>
      </c>
    </row>
    <row r="263" spans="1:6" ht="15" customHeight="1">
      <c r="A263" s="70"/>
      <c r="B263" s="79" t="s">
        <v>32</v>
      </c>
      <c r="C263" s="74"/>
      <c r="D263" s="74">
        <v>3000</v>
      </c>
      <c r="E263" s="117"/>
      <c r="F263" s="74">
        <f t="shared" si="9"/>
        <v>3000</v>
      </c>
    </row>
    <row r="264" spans="1:6" ht="15" customHeight="1">
      <c r="A264" s="70"/>
      <c r="B264" s="79" t="s">
        <v>569</v>
      </c>
      <c r="C264" s="74"/>
      <c r="D264" s="74">
        <v>180</v>
      </c>
      <c r="E264" s="117"/>
      <c r="F264" s="74">
        <f t="shared" si="9"/>
        <v>180</v>
      </c>
    </row>
    <row r="265" spans="1:6" ht="30" customHeight="1">
      <c r="A265" s="70"/>
      <c r="B265" s="79" t="s">
        <v>43</v>
      </c>
      <c r="C265" s="74"/>
      <c r="D265" s="74">
        <v>950</v>
      </c>
      <c r="E265" s="117"/>
      <c r="F265" s="74">
        <f t="shared" si="9"/>
        <v>950</v>
      </c>
    </row>
    <row r="266" spans="1:6" ht="26.25" customHeight="1">
      <c r="A266" s="70"/>
      <c r="B266" s="79" t="s">
        <v>593</v>
      </c>
      <c r="C266" s="74"/>
      <c r="D266" s="74">
        <v>9975</v>
      </c>
      <c r="E266" s="117"/>
      <c r="F266" s="74">
        <f t="shared" si="9"/>
        <v>9975</v>
      </c>
    </row>
    <row r="267" spans="1:6" ht="15" customHeight="1">
      <c r="A267" s="70"/>
      <c r="B267" s="79" t="s">
        <v>592</v>
      </c>
      <c r="C267" s="74"/>
      <c r="D267" s="74">
        <v>8137</v>
      </c>
      <c r="E267" s="117"/>
      <c r="F267" s="74">
        <f t="shared" si="9"/>
        <v>8137</v>
      </c>
    </row>
    <row r="268" spans="1:6" ht="15" customHeight="1">
      <c r="A268" s="70"/>
      <c r="B268" s="79" t="s">
        <v>579</v>
      </c>
      <c r="C268" s="74"/>
      <c r="D268" s="74">
        <v>10000</v>
      </c>
      <c r="E268" s="117"/>
      <c r="F268" s="74">
        <f t="shared" si="9"/>
        <v>10000</v>
      </c>
    </row>
    <row r="269" spans="1:6" ht="20.25" customHeight="1">
      <c r="A269" s="70"/>
      <c r="B269" s="80" t="s">
        <v>99</v>
      </c>
      <c r="C269" s="74"/>
      <c r="D269" s="67">
        <v>90</v>
      </c>
      <c r="E269" s="117"/>
      <c r="F269" s="74">
        <f t="shared" si="9"/>
        <v>90</v>
      </c>
    </row>
    <row r="270" spans="1:6" ht="36" customHeight="1">
      <c r="A270" s="70"/>
      <c r="B270" s="79" t="s">
        <v>229</v>
      </c>
      <c r="C270" s="74"/>
      <c r="D270" s="67">
        <v>400</v>
      </c>
      <c r="E270" s="117"/>
      <c r="F270" s="74">
        <f t="shared" si="9"/>
        <v>400</v>
      </c>
    </row>
    <row r="271" spans="1:6" ht="32.25" customHeight="1">
      <c r="A271" s="70"/>
      <c r="B271" s="79" t="s">
        <v>594</v>
      </c>
      <c r="C271" s="74"/>
      <c r="D271" s="67">
        <v>2280</v>
      </c>
      <c r="E271" s="117"/>
      <c r="F271" s="74">
        <f t="shared" si="9"/>
        <v>2280</v>
      </c>
    </row>
    <row r="272" spans="1:6" ht="32.25" customHeight="1">
      <c r="A272" s="70"/>
      <c r="B272" s="79" t="s">
        <v>11</v>
      </c>
      <c r="C272" s="74"/>
      <c r="D272" s="67">
        <f>460+1200</f>
        <v>1660</v>
      </c>
      <c r="E272" s="117"/>
      <c r="F272" s="74">
        <f t="shared" si="9"/>
        <v>1660</v>
      </c>
    </row>
    <row r="273" spans="1:6" ht="32.25" customHeight="1">
      <c r="A273" s="70"/>
      <c r="B273" s="79" t="s">
        <v>14</v>
      </c>
      <c r="C273" s="74"/>
      <c r="D273" s="67">
        <v>1890</v>
      </c>
      <c r="E273" s="117"/>
      <c r="F273" s="74">
        <f t="shared" si="9"/>
        <v>1890</v>
      </c>
    </row>
    <row r="274" spans="1:6" ht="30.75" customHeight="1">
      <c r="A274" s="70"/>
      <c r="B274" s="79" t="s">
        <v>595</v>
      </c>
      <c r="C274" s="74"/>
      <c r="D274" s="74">
        <v>31400</v>
      </c>
      <c r="E274" s="117"/>
      <c r="F274" s="74">
        <f t="shared" si="9"/>
        <v>31400</v>
      </c>
    </row>
    <row r="275" spans="1:6" ht="25.15" customHeight="1">
      <c r="A275" s="70"/>
      <c r="B275" s="79" t="s">
        <v>575</v>
      </c>
      <c r="C275" s="74"/>
      <c r="D275" s="74">
        <v>200</v>
      </c>
      <c r="E275" s="117"/>
      <c r="F275" s="74">
        <f t="shared" si="9"/>
        <v>200</v>
      </c>
    </row>
    <row r="276" spans="1:6" ht="25.15" customHeight="1">
      <c r="A276" s="70"/>
      <c r="B276" s="79" t="s">
        <v>93</v>
      </c>
      <c r="C276" s="74"/>
      <c r="D276" s="74">
        <v>5500</v>
      </c>
      <c r="E276" s="117"/>
      <c r="F276" s="74">
        <f t="shared" si="9"/>
        <v>5500</v>
      </c>
    </row>
    <row r="277" spans="1:6" ht="29.25" customHeight="1">
      <c r="A277" s="70"/>
      <c r="B277" s="79" t="s">
        <v>596</v>
      </c>
      <c r="C277" s="74"/>
      <c r="D277" s="74">
        <v>1167</v>
      </c>
      <c r="E277" s="117"/>
      <c r="F277" s="74">
        <f t="shared" si="9"/>
        <v>1167</v>
      </c>
    </row>
    <row r="278" spans="1:6" ht="15.75" customHeight="1">
      <c r="A278" s="70"/>
      <c r="B278" s="79" t="s">
        <v>580</v>
      </c>
      <c r="C278" s="74"/>
      <c r="D278" s="74">
        <v>5800</v>
      </c>
      <c r="E278" s="117"/>
      <c r="F278" s="74">
        <f t="shared" si="9"/>
        <v>5800</v>
      </c>
    </row>
    <row r="279" spans="1:6" ht="15" customHeight="1">
      <c r="A279" s="70"/>
      <c r="B279" s="79" t="s">
        <v>597</v>
      </c>
      <c r="C279" s="74"/>
      <c r="D279" s="74">
        <v>1550</v>
      </c>
      <c r="E279" s="117"/>
      <c r="F279" s="74">
        <f t="shared" si="9"/>
        <v>1550</v>
      </c>
    </row>
    <row r="280" spans="1:6" ht="15" customHeight="1">
      <c r="A280" s="70"/>
      <c r="B280" s="79" t="s">
        <v>667</v>
      </c>
      <c r="C280" s="74"/>
      <c r="D280" s="74">
        <f>720+3700+700</f>
        <v>5120</v>
      </c>
      <c r="E280" s="117"/>
      <c r="F280" s="74">
        <f t="shared" si="9"/>
        <v>5120</v>
      </c>
    </row>
    <row r="281" spans="1:6" ht="15" customHeight="1">
      <c r="A281" s="70"/>
      <c r="B281" s="79" t="s">
        <v>439</v>
      </c>
      <c r="C281" s="74"/>
      <c r="D281" s="74">
        <v>47308</v>
      </c>
      <c r="E281" s="117" t="s">
        <v>440</v>
      </c>
      <c r="F281" s="74">
        <f t="shared" si="9"/>
        <v>47308</v>
      </c>
    </row>
    <row r="282" spans="1:6" ht="15" customHeight="1">
      <c r="A282" s="70"/>
      <c r="B282" s="79" t="s">
        <v>441</v>
      </c>
      <c r="C282" s="74"/>
      <c r="D282" s="74">
        <v>20924</v>
      </c>
      <c r="E282" s="117" t="s">
        <v>440</v>
      </c>
      <c r="F282" s="74">
        <f t="shared" si="9"/>
        <v>20924</v>
      </c>
    </row>
    <row r="283" spans="1:6" ht="15" customHeight="1">
      <c r="A283" s="70"/>
      <c r="B283" s="79" t="s">
        <v>442</v>
      </c>
      <c r="C283" s="74"/>
      <c r="D283" s="74">
        <v>16000</v>
      </c>
      <c r="E283" s="117"/>
      <c r="F283" s="74">
        <f t="shared" si="9"/>
        <v>16000</v>
      </c>
    </row>
    <row r="284" spans="1:6" ht="15" customHeight="1">
      <c r="A284" s="70"/>
      <c r="B284" s="79" t="s">
        <v>443</v>
      </c>
      <c r="C284" s="74"/>
      <c r="D284" s="74">
        <f>79000+12040</f>
        <v>91040</v>
      </c>
      <c r="E284" s="117"/>
      <c r="F284" s="74">
        <f t="shared" si="9"/>
        <v>91040</v>
      </c>
    </row>
    <row r="285" spans="1:6" ht="15" customHeight="1">
      <c r="A285" s="70"/>
      <c r="B285" s="79" t="s">
        <v>258</v>
      </c>
      <c r="C285" s="74"/>
      <c r="D285" s="74">
        <v>13000</v>
      </c>
      <c r="E285" s="117"/>
      <c r="F285" s="74">
        <f t="shared" si="9"/>
        <v>13000</v>
      </c>
    </row>
    <row r="286" spans="1:6" ht="15" customHeight="1">
      <c r="A286" s="70"/>
      <c r="B286" s="79" t="s">
        <v>182</v>
      </c>
      <c r="C286" s="74"/>
      <c r="D286" s="74">
        <v>29102</v>
      </c>
      <c r="E286" s="117"/>
      <c r="F286" s="74">
        <f t="shared" si="9"/>
        <v>29102</v>
      </c>
    </row>
    <row r="287" spans="1:6" ht="15" customHeight="1">
      <c r="A287" s="70"/>
      <c r="B287" s="79" t="s">
        <v>444</v>
      </c>
      <c r="C287" s="74"/>
      <c r="D287" s="74">
        <v>66000</v>
      </c>
      <c r="E287" s="117"/>
      <c r="F287" s="74">
        <f t="shared" si="9"/>
        <v>66000</v>
      </c>
    </row>
    <row r="288" spans="1:6" ht="15" customHeight="1">
      <c r="A288" s="70"/>
      <c r="B288" s="79" t="s">
        <v>143</v>
      </c>
      <c r="C288" s="74"/>
      <c r="D288" s="74">
        <v>3100</v>
      </c>
      <c r="E288" s="117"/>
      <c r="F288" s="74">
        <f t="shared" si="9"/>
        <v>3100</v>
      </c>
    </row>
    <row r="289" spans="1:6" ht="15" customHeight="1">
      <c r="A289" s="70"/>
      <c r="B289" s="79" t="s">
        <v>142</v>
      </c>
      <c r="C289" s="74"/>
      <c r="D289" s="74">
        <v>9356</v>
      </c>
      <c r="E289" s="117"/>
      <c r="F289" s="74">
        <f t="shared" si="9"/>
        <v>9356</v>
      </c>
    </row>
    <row r="290" spans="1:6" ht="15" customHeight="1">
      <c r="A290" s="70"/>
      <c r="B290" s="79" t="s">
        <v>669</v>
      </c>
      <c r="C290" s="74"/>
      <c r="D290" s="67">
        <v>2500</v>
      </c>
      <c r="E290" s="117"/>
      <c r="F290" s="74">
        <f t="shared" si="9"/>
        <v>2500</v>
      </c>
    </row>
    <row r="291" spans="1:6" ht="15" customHeight="1">
      <c r="A291" s="70"/>
      <c r="B291" s="79" t="s">
        <v>670</v>
      </c>
      <c r="C291" s="74"/>
      <c r="D291" s="74">
        <v>4327</v>
      </c>
      <c r="E291" s="117"/>
      <c r="F291" s="74">
        <f t="shared" si="9"/>
        <v>4327</v>
      </c>
    </row>
    <row r="292" spans="1:6" ht="15" customHeight="1">
      <c r="A292" s="70"/>
      <c r="B292" s="79" t="s">
        <v>671</v>
      </c>
      <c r="C292" s="74"/>
      <c r="D292" s="74">
        <v>2005</v>
      </c>
      <c r="E292" s="117"/>
      <c r="F292" s="74">
        <f t="shared" si="9"/>
        <v>2005</v>
      </c>
    </row>
    <row r="293" spans="1:6" ht="15" customHeight="1">
      <c r="A293" s="70"/>
      <c r="B293" s="79" t="s">
        <v>689</v>
      </c>
      <c r="C293" s="74"/>
      <c r="D293" s="74">
        <v>4950</v>
      </c>
      <c r="E293" s="117"/>
      <c r="F293" s="74">
        <f t="shared" si="9"/>
        <v>4950</v>
      </c>
    </row>
    <row r="294" spans="1:6" ht="15" customHeight="1">
      <c r="A294" s="70"/>
      <c r="B294" s="79" t="s">
        <v>673</v>
      </c>
      <c r="C294" s="74"/>
      <c r="D294" s="74">
        <v>6500</v>
      </c>
      <c r="E294" s="117"/>
      <c r="F294" s="74">
        <f t="shared" si="9"/>
        <v>6500</v>
      </c>
    </row>
    <row r="295" spans="1:6" ht="15" customHeight="1">
      <c r="A295" s="70"/>
      <c r="B295" s="79" t="s">
        <v>674</v>
      </c>
      <c r="C295" s="74"/>
      <c r="D295" s="74">
        <v>7000</v>
      </c>
      <c r="E295" s="117"/>
      <c r="F295" s="74">
        <f t="shared" si="9"/>
        <v>7000</v>
      </c>
    </row>
    <row r="296" spans="1:6" ht="15" customHeight="1">
      <c r="A296" s="70"/>
      <c r="B296" s="79" t="s">
        <v>690</v>
      </c>
      <c r="C296" s="74"/>
      <c r="D296" s="74">
        <v>7650</v>
      </c>
      <c r="E296" s="117"/>
      <c r="F296" s="74">
        <f t="shared" si="9"/>
        <v>7650</v>
      </c>
    </row>
    <row r="297" spans="1:6" ht="15" customHeight="1">
      <c r="A297" s="70"/>
      <c r="B297" s="79" t="s">
        <v>675</v>
      </c>
      <c r="C297" s="74"/>
      <c r="D297" s="74">
        <v>2692</v>
      </c>
      <c r="E297" s="117"/>
      <c r="F297" s="74">
        <f t="shared" si="9"/>
        <v>2692</v>
      </c>
    </row>
    <row r="298" spans="1:6" ht="15" customHeight="1">
      <c r="A298" s="70"/>
      <c r="B298" s="79" t="s">
        <v>676</v>
      </c>
      <c r="C298" s="74"/>
      <c r="D298" s="74">
        <v>5500</v>
      </c>
      <c r="E298" s="117"/>
      <c r="F298" s="74">
        <f t="shared" si="9"/>
        <v>5500</v>
      </c>
    </row>
    <row r="299" spans="1:6" ht="15.75" customHeight="1">
      <c r="A299" s="70"/>
      <c r="B299" s="79" t="s">
        <v>678</v>
      </c>
      <c r="C299" s="74"/>
      <c r="D299" s="74">
        <v>3600</v>
      </c>
      <c r="E299" s="117"/>
      <c r="F299" s="74">
        <f t="shared" si="9"/>
        <v>3600</v>
      </c>
    </row>
    <row r="300" spans="1:6" ht="19.5" customHeight="1">
      <c r="A300" s="70"/>
      <c r="B300" s="79" t="s">
        <v>677</v>
      </c>
      <c r="C300" s="74"/>
      <c r="D300" s="74">
        <v>3800</v>
      </c>
      <c r="E300" s="117"/>
      <c r="F300" s="74">
        <f t="shared" si="9"/>
        <v>3800</v>
      </c>
    </row>
    <row r="301" spans="1:6" ht="18" customHeight="1">
      <c r="A301" s="70"/>
      <c r="B301" s="79" t="s">
        <v>691</v>
      </c>
      <c r="C301" s="74"/>
      <c r="D301" s="74">
        <v>9900</v>
      </c>
      <c r="E301" s="117"/>
      <c r="F301" s="74">
        <f t="shared" si="9"/>
        <v>9900</v>
      </c>
    </row>
    <row r="302" spans="1:6" ht="30" customHeight="1">
      <c r="A302" s="70"/>
      <c r="B302" s="79" t="s">
        <v>679</v>
      </c>
      <c r="C302" s="74"/>
      <c r="D302" s="74">
        <v>8500</v>
      </c>
      <c r="E302" s="117"/>
      <c r="F302" s="74">
        <f t="shared" si="9"/>
        <v>8500</v>
      </c>
    </row>
    <row r="303" spans="1:6" ht="30" customHeight="1">
      <c r="A303" s="70"/>
      <c r="B303" s="79" t="s">
        <v>681</v>
      </c>
      <c r="C303" s="74"/>
      <c r="D303" s="74">
        <v>3800</v>
      </c>
      <c r="E303" s="117"/>
      <c r="F303" s="74">
        <f t="shared" si="9"/>
        <v>3800</v>
      </c>
    </row>
    <row r="304" spans="1:6" ht="30" customHeight="1">
      <c r="A304" s="70"/>
      <c r="B304" s="79" t="s">
        <v>692</v>
      </c>
      <c r="C304" s="74"/>
      <c r="D304" s="74">
        <v>2500</v>
      </c>
      <c r="E304" s="117"/>
      <c r="F304" s="74">
        <f t="shared" si="9"/>
        <v>2500</v>
      </c>
    </row>
    <row r="305" spans="1:6" ht="30" customHeight="1">
      <c r="A305" s="70"/>
      <c r="B305" s="79" t="s">
        <v>682</v>
      </c>
      <c r="C305" s="74"/>
      <c r="D305" s="74">
        <v>3350</v>
      </c>
      <c r="E305" s="117"/>
      <c r="F305" s="74">
        <f t="shared" si="9"/>
        <v>3350</v>
      </c>
    </row>
    <row r="306" spans="1:6" ht="30" customHeight="1">
      <c r="A306" s="70"/>
      <c r="B306" s="79" t="s">
        <v>683</v>
      </c>
      <c r="C306" s="74"/>
      <c r="D306" s="74">
        <v>15100</v>
      </c>
      <c r="E306" s="117"/>
      <c r="F306" s="74">
        <f t="shared" si="9"/>
        <v>15100</v>
      </c>
    </row>
    <row r="307" spans="1:6" ht="30" customHeight="1">
      <c r="A307" s="70"/>
      <c r="B307" s="79" t="s">
        <v>684</v>
      </c>
      <c r="C307" s="74"/>
      <c r="D307" s="74">
        <v>3200</v>
      </c>
      <c r="E307" s="117"/>
      <c r="F307" s="74">
        <f t="shared" si="9"/>
        <v>3200</v>
      </c>
    </row>
    <row r="308" spans="1:6" ht="30" customHeight="1">
      <c r="A308" s="70"/>
      <c r="B308" s="79" t="s">
        <v>693</v>
      </c>
      <c r="C308" s="74"/>
      <c r="D308" s="74">
        <v>10000</v>
      </c>
      <c r="E308" s="117"/>
      <c r="F308" s="74">
        <f t="shared" si="10" ref="F308:F336">D308</f>
        <v>10000</v>
      </c>
    </row>
    <row r="309" spans="1:6" ht="30" customHeight="1">
      <c r="A309" s="70"/>
      <c r="B309" s="79" t="s">
        <v>694</v>
      </c>
      <c r="C309" s="74"/>
      <c r="D309" s="74">
        <v>7456</v>
      </c>
      <c r="E309" s="117"/>
      <c r="F309" s="74">
        <f t="shared" si="10"/>
        <v>7456</v>
      </c>
    </row>
    <row r="310" spans="1:6" ht="30" customHeight="1">
      <c r="A310" s="70"/>
      <c r="B310" s="79" t="s">
        <v>695</v>
      </c>
      <c r="C310" s="74"/>
      <c r="D310" s="67">
        <v>2845</v>
      </c>
      <c r="E310" s="117"/>
      <c r="F310" s="74">
        <f t="shared" si="10"/>
        <v>2845</v>
      </c>
    </row>
    <row r="311" spans="1:6" ht="30" customHeight="1">
      <c r="A311" s="70"/>
      <c r="B311" s="79" t="s">
        <v>696</v>
      </c>
      <c r="C311" s="74"/>
      <c r="D311" s="74">
        <v>5646</v>
      </c>
      <c r="E311" s="117"/>
      <c r="F311" s="74">
        <f t="shared" si="10"/>
        <v>5646</v>
      </c>
    </row>
    <row r="312" spans="1:6" ht="30" customHeight="1">
      <c r="A312" s="70"/>
      <c r="B312" s="79" t="s">
        <v>697</v>
      </c>
      <c r="C312" s="74"/>
      <c r="D312" s="74">
        <v>2995</v>
      </c>
      <c r="E312" s="117"/>
      <c r="F312" s="74">
        <f t="shared" si="10"/>
        <v>2995</v>
      </c>
    </row>
    <row r="313" spans="1:6" ht="30" customHeight="1">
      <c r="A313" s="70"/>
      <c r="B313" s="79" t="s">
        <v>698</v>
      </c>
      <c r="C313" s="74"/>
      <c r="D313" s="74">
        <v>8580</v>
      </c>
      <c r="E313" s="117"/>
      <c r="F313" s="74">
        <f t="shared" si="10"/>
        <v>8580</v>
      </c>
    </row>
    <row r="314" spans="1:6" ht="30" customHeight="1">
      <c r="A314" s="70"/>
      <c r="B314" s="79" t="s">
        <v>699</v>
      </c>
      <c r="C314" s="74"/>
      <c r="D314" s="74">
        <v>5700</v>
      </c>
      <c r="E314" s="117"/>
      <c r="F314" s="74">
        <f t="shared" si="10"/>
        <v>5700</v>
      </c>
    </row>
    <row r="315" spans="1:6" ht="30" customHeight="1">
      <c r="A315" s="70"/>
      <c r="B315" s="79" t="s">
        <v>700</v>
      </c>
      <c r="C315" s="74"/>
      <c r="D315" s="74">
        <v>2350</v>
      </c>
      <c r="E315" s="117"/>
      <c r="F315" s="74">
        <f t="shared" si="10"/>
        <v>2350</v>
      </c>
    </row>
    <row r="316" spans="1:6" ht="30" customHeight="1">
      <c r="A316" s="70"/>
      <c r="B316" s="79" t="s">
        <v>701</v>
      </c>
      <c r="C316" s="74"/>
      <c r="D316" s="74">
        <v>9130</v>
      </c>
      <c r="E316" s="117"/>
      <c r="F316" s="74">
        <f t="shared" si="10"/>
        <v>9130</v>
      </c>
    </row>
    <row r="317" spans="1:6" ht="30" customHeight="1">
      <c r="A317" s="70"/>
      <c r="B317" s="79" t="s">
        <v>702</v>
      </c>
      <c r="C317" s="74"/>
      <c r="D317" s="74">
        <v>989</v>
      </c>
      <c r="E317" s="117"/>
      <c r="F317" s="74">
        <f t="shared" si="10"/>
        <v>989</v>
      </c>
    </row>
    <row r="318" spans="1:6" ht="15" customHeight="1">
      <c r="A318" s="70"/>
      <c r="B318" s="79" t="s">
        <v>703</v>
      </c>
      <c r="C318" s="74"/>
      <c r="D318" s="74">
        <v>6900</v>
      </c>
      <c r="E318" s="117"/>
      <c r="F318" s="74">
        <f t="shared" si="10"/>
        <v>6900</v>
      </c>
    </row>
    <row r="319" spans="1:6" s="64" customFormat="1" ht="15" customHeight="1">
      <c r="A319" s="70"/>
      <c r="B319" s="79" t="s">
        <v>446</v>
      </c>
      <c r="C319" s="74"/>
      <c r="D319" s="74">
        <v>2410</v>
      </c>
      <c r="E319" s="117"/>
      <c r="F319" s="74">
        <f t="shared" si="10"/>
        <v>2410</v>
      </c>
    </row>
    <row r="320" spans="1:6" ht="15" customHeight="1">
      <c r="A320" s="70"/>
      <c r="B320" s="79" t="s">
        <v>704</v>
      </c>
      <c r="C320" s="74"/>
      <c r="D320" s="74">
        <v>5367</v>
      </c>
      <c r="E320" s="117"/>
      <c r="F320" s="74">
        <f t="shared" si="10"/>
        <v>5367</v>
      </c>
    </row>
    <row r="321" spans="1:6" ht="15" customHeight="1">
      <c r="A321" s="70"/>
      <c r="B321" s="79" t="s">
        <v>447</v>
      </c>
      <c r="C321" s="74"/>
      <c r="D321" s="74">
        <v>5400</v>
      </c>
      <c r="E321" s="117"/>
      <c r="F321" s="74">
        <f t="shared" si="10"/>
        <v>5400</v>
      </c>
    </row>
    <row r="322" spans="1:6" ht="15" customHeight="1">
      <c r="A322" s="70"/>
      <c r="B322" s="79" t="s">
        <v>448</v>
      </c>
      <c r="C322" s="74"/>
      <c r="D322" s="74">
        <v>410</v>
      </c>
      <c r="E322" s="117"/>
      <c r="F322" s="74">
        <f t="shared" si="10"/>
        <v>410</v>
      </c>
    </row>
    <row r="323" spans="1:6" ht="15" customHeight="1">
      <c r="A323" s="70"/>
      <c r="B323" s="79" t="s">
        <v>449</v>
      </c>
      <c r="C323" s="74"/>
      <c r="D323" s="74">
        <v>2100</v>
      </c>
      <c r="E323" s="117"/>
      <c r="F323" s="74">
        <f t="shared" si="10"/>
        <v>2100</v>
      </c>
    </row>
    <row r="324" spans="1:6" ht="15" customHeight="1">
      <c r="A324" s="70"/>
      <c r="B324" s="79" t="s">
        <v>705</v>
      </c>
      <c r="C324" s="74"/>
      <c r="D324" s="74">
        <v>19600</v>
      </c>
      <c r="E324" s="117"/>
      <c r="F324" s="74">
        <f t="shared" si="10"/>
        <v>19600</v>
      </c>
    </row>
    <row r="325" spans="1:6" ht="15" customHeight="1">
      <c r="A325" s="70"/>
      <c r="B325" s="79" t="s">
        <v>706</v>
      </c>
      <c r="C325" s="74"/>
      <c r="D325" s="74">
        <v>6665</v>
      </c>
      <c r="E325" s="117"/>
      <c r="F325" s="74">
        <f t="shared" si="10"/>
        <v>6665</v>
      </c>
    </row>
    <row r="326" spans="1:6" ht="15" customHeight="1">
      <c r="A326" s="70"/>
      <c r="B326" s="79" t="s">
        <v>707</v>
      </c>
      <c r="C326" s="74"/>
      <c r="D326" s="74">
        <v>9500</v>
      </c>
      <c r="E326" s="117"/>
      <c r="F326" s="74">
        <f t="shared" si="10"/>
        <v>9500</v>
      </c>
    </row>
    <row r="327" spans="1:6" ht="15" customHeight="1">
      <c r="A327" s="70"/>
      <c r="B327" s="79" t="s">
        <v>708</v>
      </c>
      <c r="C327" s="74"/>
      <c r="D327" s="74">
        <v>1800</v>
      </c>
      <c r="E327" s="117"/>
      <c r="F327" s="74">
        <f t="shared" si="10"/>
        <v>1800</v>
      </c>
    </row>
    <row r="328" spans="1:6" ht="15" customHeight="1">
      <c r="A328" s="71" t="s">
        <v>450</v>
      </c>
      <c r="B328" s="71" t="s">
        <v>451</v>
      </c>
      <c r="C328" s="73"/>
      <c r="D328" s="73">
        <f>SUM(D329:D336)</f>
        <v>859994</v>
      </c>
      <c r="E328" s="73">
        <f>SUM(E329:E336)</f>
        <v>0</v>
      </c>
      <c r="F328" s="73">
        <f t="shared" si="10"/>
        <v>859994</v>
      </c>
    </row>
    <row r="329" spans="1:6" ht="15" customHeight="1">
      <c r="A329" s="70"/>
      <c r="B329" s="79" t="s">
        <v>436</v>
      </c>
      <c r="C329" s="74"/>
      <c r="D329" s="67">
        <f>854362</f>
        <v>854362</v>
      </c>
      <c r="E329" s="117"/>
      <c r="F329" s="74">
        <f t="shared" si="10"/>
        <v>854362</v>
      </c>
    </row>
    <row r="330" spans="1:6" ht="15" customHeight="1">
      <c r="A330" s="70"/>
      <c r="B330" s="80" t="s">
        <v>11</v>
      </c>
      <c r="C330" s="74"/>
      <c r="D330" s="67">
        <v>197</v>
      </c>
      <c r="E330" s="117"/>
      <c r="F330" s="74">
        <f t="shared" si="10"/>
        <v>197</v>
      </c>
    </row>
    <row r="331" spans="1:6" ht="15" customHeight="1">
      <c r="A331" s="70"/>
      <c r="B331" s="79" t="s">
        <v>12</v>
      </c>
      <c r="C331" s="74"/>
      <c r="D331" s="67">
        <v>2100</v>
      </c>
      <c r="E331" s="117"/>
      <c r="F331" s="74">
        <f t="shared" si="10"/>
        <v>2100</v>
      </c>
    </row>
    <row r="332" spans="1:6" ht="15" customHeight="1">
      <c r="A332" s="70"/>
      <c r="B332" s="79" t="s">
        <v>14</v>
      </c>
      <c r="C332" s="74"/>
      <c r="D332" s="67">
        <v>125</v>
      </c>
      <c r="E332" s="117"/>
      <c r="F332" s="74">
        <f t="shared" si="10"/>
        <v>125</v>
      </c>
    </row>
    <row r="333" spans="1:6" ht="15" customHeight="1">
      <c r="A333" s="70"/>
      <c r="B333" s="79" t="s">
        <v>13</v>
      </c>
      <c r="C333" s="74"/>
      <c r="D333" s="67">
        <v>2244</v>
      </c>
      <c r="E333" s="117"/>
      <c r="F333" s="74">
        <f t="shared" si="10"/>
        <v>2244</v>
      </c>
    </row>
    <row r="334" spans="1:6" ht="15" customHeight="1">
      <c r="A334" s="70"/>
      <c r="B334" s="79" t="s">
        <v>15</v>
      </c>
      <c r="C334" s="74"/>
      <c r="D334" s="67">
        <v>295</v>
      </c>
      <c r="E334" s="117"/>
      <c r="F334" s="74">
        <f t="shared" si="10"/>
        <v>295</v>
      </c>
    </row>
    <row r="335" spans="1:6" ht="15" customHeight="1">
      <c r="A335" s="70"/>
      <c r="B335" s="79" t="s">
        <v>16</v>
      </c>
      <c r="C335" s="74"/>
      <c r="D335" s="67">
        <v>605</v>
      </c>
      <c r="E335" s="117"/>
      <c r="F335" s="74">
        <f t="shared" si="10"/>
        <v>605</v>
      </c>
    </row>
    <row r="336" spans="1:6" ht="15" customHeight="1">
      <c r="A336" s="70"/>
      <c r="B336" s="79" t="s">
        <v>18</v>
      </c>
      <c r="C336" s="74"/>
      <c r="D336" s="67">
        <v>66</v>
      </c>
      <c r="E336" s="117"/>
      <c r="F336" s="74">
        <f t="shared" si="10"/>
        <v>66</v>
      </c>
    </row>
    <row r="337" spans="1:6" s="65" customFormat="1" ht="15" customHeight="1">
      <c r="A337" s="71" t="s">
        <v>452</v>
      </c>
      <c r="B337" s="72" t="s">
        <v>453</v>
      </c>
      <c r="C337" s="73"/>
      <c r="D337" s="73">
        <f>D338+D346+D347+D374</f>
        <v>316690</v>
      </c>
      <c r="E337" s="73">
        <f>E338+E346+E347+E374</f>
        <v>0</v>
      </c>
      <c r="F337" s="73">
        <f t="shared" si="11" ref="F337:F368">D337</f>
        <v>316690</v>
      </c>
    </row>
    <row r="338" spans="1:6" ht="15" customHeight="1">
      <c r="A338" s="71" t="s">
        <v>454</v>
      </c>
      <c r="B338" s="72" t="s">
        <v>455</v>
      </c>
      <c r="C338" s="73"/>
      <c r="D338" s="73">
        <f>SUM(D339:D345)</f>
        <v>31438</v>
      </c>
      <c r="E338" s="73">
        <f>SUM(E339:E345)</f>
        <v>0</v>
      </c>
      <c r="F338" s="73">
        <f>D338</f>
        <v>31438</v>
      </c>
    </row>
    <row r="339" spans="1:6" ht="15" customHeight="1">
      <c r="A339" s="70"/>
      <c r="B339" s="79" t="s">
        <v>66</v>
      </c>
      <c r="C339" s="74"/>
      <c r="D339" s="74">
        <v>11300</v>
      </c>
      <c r="E339" s="117"/>
      <c r="F339" s="74">
        <f t="shared" si="11"/>
        <v>11300</v>
      </c>
    </row>
    <row r="340" spans="1:6" ht="15" customHeight="1">
      <c r="A340" s="70"/>
      <c r="B340" s="79" t="s">
        <v>112</v>
      </c>
      <c r="C340" s="74"/>
      <c r="D340" s="74">
        <v>8508</v>
      </c>
      <c r="E340" s="117"/>
      <c r="F340" s="74">
        <f t="shared" si="11"/>
        <v>8508</v>
      </c>
    </row>
    <row r="341" spans="1:6" ht="15" customHeight="1">
      <c r="A341" s="70"/>
      <c r="B341" s="79" t="s">
        <v>170</v>
      </c>
      <c r="C341" s="74"/>
      <c r="D341" s="74">
        <v>4350</v>
      </c>
      <c r="E341" s="117"/>
      <c r="F341" s="74">
        <f t="shared" si="11"/>
        <v>4350</v>
      </c>
    </row>
    <row r="342" spans="1:6" ht="15" customHeight="1">
      <c r="A342" s="70"/>
      <c r="B342" s="79" t="s">
        <v>631</v>
      </c>
      <c r="C342" s="74"/>
      <c r="D342" s="74">
        <v>1170</v>
      </c>
      <c r="E342" s="117"/>
      <c r="F342" s="74">
        <f t="shared" si="11"/>
        <v>1170</v>
      </c>
    </row>
    <row r="343" spans="1:6" ht="16.5" customHeight="1">
      <c r="A343" s="70"/>
      <c r="B343" s="80" t="s">
        <v>108</v>
      </c>
      <c r="C343" s="74"/>
      <c r="D343" s="74">
        <v>2550</v>
      </c>
      <c r="E343" s="117"/>
      <c r="F343" s="74">
        <f t="shared" si="11"/>
        <v>2550</v>
      </c>
    </row>
    <row r="344" spans="1:6" ht="15" customHeight="1">
      <c r="A344" s="70"/>
      <c r="B344" s="80" t="s">
        <v>105</v>
      </c>
      <c r="C344" s="74"/>
      <c r="D344" s="74">
        <v>1560</v>
      </c>
      <c r="E344" s="117"/>
      <c r="F344" s="74">
        <f t="shared" si="11"/>
        <v>1560</v>
      </c>
    </row>
    <row r="345" spans="1:6" ht="15" customHeight="1">
      <c r="A345" s="70"/>
      <c r="B345" s="80" t="s">
        <v>114</v>
      </c>
      <c r="C345" s="74"/>
      <c r="D345" s="74">
        <v>2000</v>
      </c>
      <c r="E345" s="117"/>
      <c r="F345" s="74">
        <f t="shared" si="11"/>
        <v>2000</v>
      </c>
    </row>
    <row r="346" spans="1:6" ht="15" customHeight="1">
      <c r="A346" s="71" t="s">
        <v>456</v>
      </c>
      <c r="B346" s="106" t="s">
        <v>457</v>
      </c>
      <c r="C346" s="73"/>
      <c r="D346" s="73">
        <v>100000</v>
      </c>
      <c r="E346" s="116"/>
      <c r="F346" s="73">
        <f t="shared" si="11"/>
        <v>100000</v>
      </c>
    </row>
    <row r="347" spans="1:6" ht="15" customHeight="1">
      <c r="A347" s="71" t="s">
        <v>458</v>
      </c>
      <c r="B347" s="71" t="s">
        <v>459</v>
      </c>
      <c r="C347" s="73"/>
      <c r="D347" s="73">
        <f>SUM(D348:D373)</f>
        <v>139763</v>
      </c>
      <c r="E347" s="73">
        <f>SUM(E348:E373)</f>
        <v>0</v>
      </c>
      <c r="F347" s="73">
        <f>D347</f>
        <v>139763</v>
      </c>
    </row>
    <row r="348" spans="1:6" ht="15" customHeight="1">
      <c r="A348" s="70"/>
      <c r="B348" s="80" t="s">
        <v>128</v>
      </c>
      <c r="C348" s="74"/>
      <c r="D348" s="74">
        <v>21000</v>
      </c>
      <c r="E348" s="117"/>
      <c r="F348" s="74">
        <f t="shared" si="11"/>
        <v>21000</v>
      </c>
    </row>
    <row r="349" spans="1:6" ht="15" customHeight="1">
      <c r="A349" s="70"/>
      <c r="B349" s="80" t="s">
        <v>5</v>
      </c>
      <c r="C349" s="74"/>
      <c r="D349" s="74">
        <v>1300</v>
      </c>
      <c r="E349" s="117"/>
      <c r="F349" s="74">
        <f t="shared" si="11"/>
        <v>1300</v>
      </c>
    </row>
    <row r="350" spans="1:6" ht="15" customHeight="1">
      <c r="A350" s="70"/>
      <c r="B350" s="80" t="s">
        <v>460</v>
      </c>
      <c r="C350" s="74"/>
      <c r="D350" s="74">
        <v>25000</v>
      </c>
      <c r="E350" s="117"/>
      <c r="F350" s="74">
        <f t="shared" si="11"/>
        <v>25000</v>
      </c>
    </row>
    <row r="351" spans="1:6" ht="15" customHeight="1">
      <c r="A351" s="70"/>
      <c r="B351" s="80" t="s">
        <v>436</v>
      </c>
      <c r="C351" s="74"/>
      <c r="D351" s="74">
        <f>9886+4868+37057+13566</f>
        <v>65377</v>
      </c>
      <c r="E351" s="117"/>
      <c r="F351" s="74">
        <f t="shared" si="11"/>
        <v>65377</v>
      </c>
    </row>
    <row r="352" spans="1:6" ht="15" customHeight="1">
      <c r="A352" s="70"/>
      <c r="B352" s="81" t="s">
        <v>598</v>
      </c>
      <c r="C352" s="74"/>
      <c r="D352" s="74">
        <v>600</v>
      </c>
      <c r="E352" s="117"/>
      <c r="F352" s="74">
        <f t="shared" si="11"/>
        <v>600</v>
      </c>
    </row>
    <row r="353" spans="1:6" ht="19.5" customHeight="1">
      <c r="A353" s="70"/>
      <c r="B353" s="79" t="s">
        <v>613</v>
      </c>
      <c r="C353" s="74"/>
      <c r="D353" s="74">
        <v>1300</v>
      </c>
      <c r="E353" s="117"/>
      <c r="F353" s="74">
        <f t="shared" si="11"/>
        <v>1300</v>
      </c>
    </row>
    <row r="354" spans="1:6" ht="15" customHeight="1">
      <c r="A354" s="70"/>
      <c r="B354" s="80" t="s">
        <v>666</v>
      </c>
      <c r="C354" s="74"/>
      <c r="D354" s="74">
        <v>495</v>
      </c>
      <c r="E354" s="117"/>
      <c r="F354" s="74">
        <f t="shared" si="11"/>
        <v>495</v>
      </c>
    </row>
    <row r="355" spans="1:6" ht="15" customHeight="1">
      <c r="A355" s="70"/>
      <c r="B355" s="81" t="s">
        <v>665</v>
      </c>
      <c r="C355" s="74"/>
      <c r="D355" s="74">
        <v>600</v>
      </c>
      <c r="E355" s="117"/>
      <c r="F355" s="74">
        <f t="shared" si="11"/>
        <v>600</v>
      </c>
    </row>
    <row r="356" spans="1:6" ht="21.75" customHeight="1">
      <c r="A356" s="70"/>
      <c r="B356" s="80" t="s">
        <v>579</v>
      </c>
      <c r="C356" s="74"/>
      <c r="D356" s="74">
        <v>1500</v>
      </c>
      <c r="E356" s="117"/>
      <c r="F356" s="74">
        <f t="shared" si="11"/>
        <v>1500</v>
      </c>
    </row>
    <row r="357" spans="1:6" ht="30" customHeight="1">
      <c r="A357" s="70"/>
      <c r="B357" s="80" t="s">
        <v>599</v>
      </c>
      <c r="C357" s="74"/>
      <c r="D357" s="74">
        <v>1800</v>
      </c>
      <c r="E357" s="117"/>
      <c r="F357" s="74">
        <f t="shared" si="11"/>
        <v>1800</v>
      </c>
    </row>
    <row r="358" spans="1:6" ht="30" customHeight="1">
      <c r="A358" s="70"/>
      <c r="B358" s="79" t="s">
        <v>600</v>
      </c>
      <c r="C358" s="74"/>
      <c r="D358" s="74">
        <v>400</v>
      </c>
      <c r="E358" s="117"/>
      <c r="F358" s="74">
        <f t="shared" si="11"/>
        <v>400</v>
      </c>
    </row>
    <row r="359" spans="1:6" ht="30" customHeight="1">
      <c r="A359" s="70"/>
      <c r="B359" s="79" t="s">
        <v>243</v>
      </c>
      <c r="C359" s="74"/>
      <c r="D359" s="74">
        <v>1800</v>
      </c>
      <c r="E359" s="117"/>
      <c r="F359" s="74">
        <f t="shared" si="11"/>
        <v>1800</v>
      </c>
    </row>
    <row r="360" spans="1:6" ht="30" customHeight="1">
      <c r="A360" s="70"/>
      <c r="B360" s="81" t="s">
        <v>590</v>
      </c>
      <c r="C360" s="74"/>
      <c r="D360" s="74">
        <v>100</v>
      </c>
      <c r="E360" s="117"/>
      <c r="F360" s="74">
        <f t="shared" si="11"/>
        <v>100</v>
      </c>
    </row>
    <row r="361" spans="1:6" ht="30" customHeight="1">
      <c r="A361" s="70"/>
      <c r="B361" s="80" t="s">
        <v>606</v>
      </c>
      <c r="C361" s="74"/>
      <c r="D361" s="74">
        <v>200</v>
      </c>
      <c r="E361" s="117"/>
      <c r="F361" s="74">
        <f t="shared" si="11"/>
        <v>200</v>
      </c>
    </row>
    <row r="362" spans="1:6" ht="30" customHeight="1">
      <c r="A362" s="70"/>
      <c r="B362" s="81" t="s">
        <v>605</v>
      </c>
      <c r="C362" s="74"/>
      <c r="D362" s="67">
        <v>1000</v>
      </c>
      <c r="E362" s="117"/>
      <c r="F362" s="74">
        <f t="shared" si="11"/>
        <v>1000</v>
      </c>
    </row>
    <row r="363" spans="1:6" ht="15.75">
      <c r="A363" s="70"/>
      <c r="B363" s="79" t="s">
        <v>553</v>
      </c>
      <c r="C363" s="74"/>
      <c r="D363" s="74">
        <v>500</v>
      </c>
      <c r="E363" s="117"/>
      <c r="F363" s="74">
        <f t="shared" si="11"/>
        <v>500</v>
      </c>
    </row>
    <row r="364" spans="1:6" ht="20.25" customHeight="1">
      <c r="A364" s="70"/>
      <c r="B364" s="79" t="s">
        <v>67</v>
      </c>
      <c r="C364" s="74"/>
      <c r="D364" s="74">
        <v>8691</v>
      </c>
      <c r="E364" s="117"/>
      <c r="F364" s="74">
        <f t="shared" si="11"/>
        <v>8691</v>
      </c>
    </row>
    <row r="365" spans="1:6" ht="30.75" customHeight="1">
      <c r="A365" s="70"/>
      <c r="B365" s="79" t="s">
        <v>601</v>
      </c>
      <c r="C365" s="74"/>
      <c r="D365" s="74">
        <v>660</v>
      </c>
      <c r="E365" s="117"/>
      <c r="F365" s="74">
        <f t="shared" si="11"/>
        <v>660</v>
      </c>
    </row>
    <row r="366" spans="1:6" ht="28.5" customHeight="1">
      <c r="A366" s="70"/>
      <c r="B366" s="79" t="s">
        <v>602</v>
      </c>
      <c r="C366" s="74"/>
      <c r="D366" s="74">
        <v>1900</v>
      </c>
      <c r="E366" s="117"/>
      <c r="F366" s="74">
        <f t="shared" si="11"/>
        <v>1900</v>
      </c>
    </row>
    <row r="367" spans="1:6" ht="27" customHeight="1">
      <c r="A367" s="70"/>
      <c r="B367" s="79" t="s">
        <v>603</v>
      </c>
      <c r="C367" s="74"/>
      <c r="D367" s="74">
        <v>300</v>
      </c>
      <c r="E367" s="117"/>
      <c r="F367" s="74">
        <f t="shared" si="11"/>
        <v>300</v>
      </c>
    </row>
    <row r="368" spans="1:6" ht="39.75" customHeight="1">
      <c r="A368" s="70"/>
      <c r="B368" s="79" t="s">
        <v>555</v>
      </c>
      <c r="C368" s="74"/>
      <c r="D368" s="74">
        <v>1000</v>
      </c>
      <c r="E368" s="117"/>
      <c r="F368" s="74">
        <f t="shared" si="11"/>
        <v>1000</v>
      </c>
    </row>
    <row r="369" spans="1:6" ht="24.75" customHeight="1">
      <c r="A369" s="70"/>
      <c r="B369" s="79" t="s">
        <v>114</v>
      </c>
      <c r="C369" s="74"/>
      <c r="D369" s="67">
        <v>40</v>
      </c>
      <c r="E369" s="117"/>
      <c r="F369" s="74">
        <f t="shared" si="12" ref="F369:F395">D369</f>
        <v>40</v>
      </c>
    </row>
    <row r="370" spans="1:6" ht="15.75">
      <c r="A370" s="70"/>
      <c r="B370" s="81" t="s">
        <v>604</v>
      </c>
      <c r="C370" s="74"/>
      <c r="D370" s="74">
        <v>1000</v>
      </c>
      <c r="E370" s="117"/>
      <c r="F370" s="74">
        <f t="shared" si="12"/>
        <v>1000</v>
      </c>
    </row>
    <row r="371" spans="1:6" ht="33.6" customHeight="1">
      <c r="A371" s="70"/>
      <c r="B371" s="79" t="s">
        <v>667</v>
      </c>
      <c r="C371" s="74"/>
      <c r="D371" s="74">
        <v>2400</v>
      </c>
      <c r="E371" s="117"/>
      <c r="F371" s="74">
        <f t="shared" si="12"/>
        <v>2400</v>
      </c>
    </row>
    <row r="372" spans="1:6" ht="30.6" customHeight="1">
      <c r="A372" s="70"/>
      <c r="B372" s="79" t="s">
        <v>583</v>
      </c>
      <c r="C372" s="74"/>
      <c r="D372" s="67">
        <v>400</v>
      </c>
      <c r="E372" s="117"/>
      <c r="F372" s="74">
        <f t="shared" si="12"/>
        <v>400</v>
      </c>
    </row>
    <row r="373" spans="1:6" ht="30.6" customHeight="1">
      <c r="A373" s="70"/>
      <c r="B373" s="79" t="s">
        <v>170</v>
      </c>
      <c r="C373" s="74"/>
      <c r="D373" s="67">
        <v>400</v>
      </c>
      <c r="E373" s="117"/>
      <c r="F373" s="74">
        <f t="shared" si="12"/>
        <v>400</v>
      </c>
    </row>
    <row r="374" spans="1:6" ht="15" customHeight="1">
      <c r="A374" s="71" t="s">
        <v>461</v>
      </c>
      <c r="B374" s="71" t="s">
        <v>462</v>
      </c>
      <c r="C374" s="73"/>
      <c r="D374" s="73">
        <f>SUM(D375:D392)</f>
        <v>45489</v>
      </c>
      <c r="E374" s="73">
        <f>SUM(E375:E392)</f>
        <v>0</v>
      </c>
      <c r="F374" s="73">
        <f t="shared" si="12"/>
        <v>45489</v>
      </c>
    </row>
    <row r="375" spans="1:6" ht="15" customHeight="1">
      <c r="A375" s="70"/>
      <c r="B375" s="80" t="s">
        <v>28</v>
      </c>
      <c r="C375" s="74"/>
      <c r="D375" s="74">
        <v>2200</v>
      </c>
      <c r="E375" s="117"/>
      <c r="F375" s="74">
        <f t="shared" si="12"/>
        <v>2200</v>
      </c>
    </row>
    <row r="376" spans="1:6" ht="15" customHeight="1">
      <c r="A376" s="70"/>
      <c r="B376" s="80" t="s">
        <v>29</v>
      </c>
      <c r="C376" s="74"/>
      <c r="D376" s="74">
        <v>2400</v>
      </c>
      <c r="E376" s="117"/>
      <c r="F376" s="74">
        <f t="shared" si="12"/>
        <v>2400</v>
      </c>
    </row>
    <row r="377" spans="1:6" ht="15" customHeight="1">
      <c r="A377" s="70"/>
      <c r="B377" s="80" t="s">
        <v>542</v>
      </c>
      <c r="C377" s="74"/>
      <c r="D377" s="74">
        <v>1875</v>
      </c>
      <c r="E377" s="117"/>
      <c r="F377" s="74">
        <f t="shared" si="12"/>
        <v>1875</v>
      </c>
    </row>
    <row r="378" spans="1:6" ht="15" customHeight="1">
      <c r="A378" s="70"/>
      <c r="B378" s="80" t="s">
        <v>463</v>
      </c>
      <c r="C378" s="74"/>
      <c r="D378" s="74">
        <v>1250</v>
      </c>
      <c r="E378" s="117"/>
      <c r="F378" s="74">
        <f t="shared" si="12"/>
        <v>1250</v>
      </c>
    </row>
    <row r="379" spans="1:6" ht="15" customHeight="1">
      <c r="A379" s="70"/>
      <c r="B379" s="80" t="s">
        <v>398</v>
      </c>
      <c r="C379" s="74"/>
      <c r="D379" s="74">
        <v>1300</v>
      </c>
      <c r="E379" s="117"/>
      <c r="F379" s="74">
        <f t="shared" si="12"/>
        <v>1300</v>
      </c>
    </row>
    <row r="380" spans="1:6" ht="15" customHeight="1">
      <c r="A380" s="70"/>
      <c r="B380" s="80" t="s">
        <v>635</v>
      </c>
      <c r="C380" s="74"/>
      <c r="D380" s="74">
        <v>110</v>
      </c>
      <c r="E380" s="117"/>
      <c r="F380" s="74">
        <f t="shared" si="12"/>
        <v>110</v>
      </c>
    </row>
    <row r="381" spans="1:6" ht="15" customHeight="1">
      <c r="A381" s="70"/>
      <c r="B381" s="80" t="s">
        <v>112</v>
      </c>
      <c r="C381" s="74"/>
      <c r="D381" s="74">
        <v>1220</v>
      </c>
      <c r="E381" s="117"/>
      <c r="F381" s="74">
        <f t="shared" si="12"/>
        <v>1220</v>
      </c>
    </row>
    <row r="382" spans="1:6" ht="15" customHeight="1">
      <c r="A382" s="70"/>
      <c r="B382" s="80" t="s">
        <v>108</v>
      </c>
      <c r="C382" s="74"/>
      <c r="D382" s="74">
        <v>3500</v>
      </c>
      <c r="E382" s="117"/>
      <c r="F382" s="74">
        <f t="shared" si="12"/>
        <v>3500</v>
      </c>
    </row>
    <row r="383" spans="1:6" ht="15" customHeight="1">
      <c r="A383" s="70"/>
      <c r="B383" s="80" t="s">
        <v>31</v>
      </c>
      <c r="C383" s="74"/>
      <c r="D383" s="74">
        <v>2574</v>
      </c>
      <c r="E383" s="117"/>
      <c r="F383" s="74">
        <f t="shared" si="12"/>
        <v>2574</v>
      </c>
    </row>
    <row r="384" spans="1:6" ht="15" customHeight="1">
      <c r="A384" s="70"/>
      <c r="B384" s="80" t="s">
        <v>170</v>
      </c>
      <c r="C384" s="74"/>
      <c r="D384" s="74">
        <v>6500</v>
      </c>
      <c r="E384" s="117"/>
      <c r="F384" s="74">
        <f t="shared" si="12"/>
        <v>6500</v>
      </c>
    </row>
    <row r="385" spans="1:6" ht="19.5" customHeight="1">
      <c r="A385" s="70"/>
      <c r="B385" s="80" t="s">
        <v>554</v>
      </c>
      <c r="C385" s="74"/>
      <c r="D385" s="74">
        <v>1600</v>
      </c>
      <c r="E385" s="117"/>
      <c r="F385" s="74">
        <f t="shared" si="12"/>
        <v>1600</v>
      </c>
    </row>
    <row r="386" spans="1:6" ht="15" customHeight="1">
      <c r="A386" s="70"/>
      <c r="B386" s="80" t="s">
        <v>110</v>
      </c>
      <c r="C386" s="74"/>
      <c r="D386" s="74">
        <v>2430</v>
      </c>
      <c r="E386" s="117"/>
      <c r="F386" s="74">
        <f t="shared" si="12"/>
        <v>2430</v>
      </c>
    </row>
    <row r="387" spans="1:6" ht="15" customHeight="1">
      <c r="A387" s="70"/>
      <c r="B387" s="80" t="s">
        <v>105</v>
      </c>
      <c r="C387" s="74"/>
      <c r="D387" s="74">
        <v>5440</v>
      </c>
      <c r="E387" s="117"/>
      <c r="F387" s="74">
        <f t="shared" si="12"/>
        <v>5440</v>
      </c>
    </row>
    <row r="388" spans="1:6" ht="15" customHeight="1">
      <c r="A388" s="70"/>
      <c r="B388" s="80" t="s">
        <v>114</v>
      </c>
      <c r="C388" s="74"/>
      <c r="D388" s="74">
        <v>3000</v>
      </c>
      <c r="E388" s="117"/>
      <c r="F388" s="74">
        <f t="shared" si="12"/>
        <v>3000</v>
      </c>
    </row>
    <row r="389" spans="1:6" ht="21" customHeight="1">
      <c r="A389" s="70"/>
      <c r="B389" s="80" t="s">
        <v>569</v>
      </c>
      <c r="C389" s="74"/>
      <c r="D389" s="74">
        <v>5300</v>
      </c>
      <c r="E389" s="117"/>
      <c r="F389" s="74">
        <f t="shared" si="12"/>
        <v>5300</v>
      </c>
    </row>
    <row r="390" spans="1:6" ht="15.75">
      <c r="A390" s="70"/>
      <c r="B390" s="80" t="s">
        <v>386</v>
      </c>
      <c r="C390" s="74"/>
      <c r="D390" s="67">
        <v>1640</v>
      </c>
      <c r="E390" s="117"/>
      <c r="F390" s="74">
        <f t="shared" si="12"/>
        <v>1640</v>
      </c>
    </row>
    <row r="391" spans="1:6" ht="15.75">
      <c r="A391" s="70"/>
      <c r="B391" s="81" t="s">
        <v>80</v>
      </c>
      <c r="C391" s="74"/>
      <c r="D391" s="74">
        <v>1500</v>
      </c>
      <c r="E391" s="117"/>
      <c r="F391" s="74">
        <f t="shared" si="12"/>
        <v>1500</v>
      </c>
    </row>
    <row r="392" spans="1:6" ht="15.75">
      <c r="A392" s="70"/>
      <c r="B392" s="79" t="s">
        <v>81</v>
      </c>
      <c r="C392" s="74"/>
      <c r="D392" s="74">
        <v>1650</v>
      </c>
      <c r="E392" s="117"/>
      <c r="F392" s="74">
        <f t="shared" si="12"/>
        <v>1650</v>
      </c>
    </row>
    <row r="393" spans="1:6" ht="63">
      <c r="A393" s="71" t="s">
        <v>464</v>
      </c>
      <c r="B393" s="72" t="s">
        <v>465</v>
      </c>
      <c r="C393" s="73"/>
      <c r="D393" s="73">
        <f>D394</f>
        <v>5000</v>
      </c>
      <c r="E393" s="117"/>
      <c r="F393" s="73">
        <f t="shared" si="12"/>
        <v>5000</v>
      </c>
    </row>
    <row r="394" spans="1:6" ht="31.5">
      <c r="A394" s="71" t="s">
        <v>466</v>
      </c>
      <c r="B394" s="72" t="s">
        <v>467</v>
      </c>
      <c r="C394" s="73"/>
      <c r="D394" s="73">
        <f>SUM(D395:D395)</f>
        <v>5000</v>
      </c>
      <c r="E394" s="116"/>
      <c r="F394" s="73">
        <f t="shared" si="12"/>
        <v>5000</v>
      </c>
    </row>
    <row r="395" spans="1:6" ht="15.75">
      <c r="A395" s="70"/>
      <c r="B395" s="79" t="s">
        <v>539</v>
      </c>
      <c r="C395" s="74"/>
      <c r="D395" s="74">
        <v>5000</v>
      </c>
      <c r="E395" s="117"/>
      <c r="F395" s="74">
        <f t="shared" si="12"/>
        <v>5000</v>
      </c>
    </row>
    <row r="397" spans="2:2" ht="18.75">
      <c r="B397" s="84" t="s">
        <v>612</v>
      </c>
    </row>
  </sheetData>
  <mergeCells count="4">
    <mergeCell ref="A10:A11"/>
    <mergeCell ref="B10:B11"/>
    <mergeCell ref="F10:F11"/>
    <mergeCell ref="C10:E10"/>
  </mergeCells>
  <pageMargins left="0.7" right="0.7" top="0.75" bottom="0.75" header="0.3" footer="0.3"/>
  <pageSetup orientation="portrait" paperSize="9" scale="4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4"/>
  <sheetViews>
    <sheetView workbookViewId="0" topLeftCell="A1">
      <pane xSplit="2" ySplit="10" topLeftCell="C11" activePane="bottomRight" state="frozen"/>
      <selection pane="topLeft" activeCell="A1" sqref="A1"/>
      <selection pane="bottomLeft" activeCell="A11" sqref="A11"/>
      <selection pane="topRight" activeCell="C1" sqref="C1"/>
      <selection pane="bottomRight" activeCell="Q10" sqref="Q10"/>
    </sheetView>
  </sheetViews>
  <sheetFormatPr defaultRowHeight="15.75"/>
  <cols>
    <col min="1" max="1" width="14.4285714285714" customWidth="1"/>
    <col min="2" max="2" width="38.8571428571429" style="97" customWidth="1"/>
    <col min="3" max="3" width="18.2857142857143" style="174" customWidth="1"/>
    <col min="4" max="4" width="18.5714285714286" style="85" customWidth="1"/>
    <col min="5" max="5" width="15.7142857142857" style="85" customWidth="1"/>
    <col min="6" max="6" width="18.2857142857143" style="85" customWidth="1"/>
    <col min="7" max="7" width="17.2857142857143" style="85" customWidth="1"/>
    <col min="8" max="8" width="17.7142857142857" style="85" customWidth="1"/>
    <col min="9" max="9" width="12.4285714285714" customWidth="1"/>
    <col min="10" max="10" width="10.1428571428571" bestFit="1" customWidth="1"/>
  </cols>
  <sheetData>
    <row r="1" spans="1:8" ht="9.75" customHeight="1">
      <c r="A1" s="17"/>
      <c r="B1" s="157"/>
      <c r="C1" s="88"/>
      <c r="D1" s="88"/>
      <c r="E1" s="88"/>
      <c r="F1" s="88"/>
      <c r="G1" s="88"/>
      <c r="H1" s="87"/>
    </row>
    <row r="2" spans="1:8" ht="16.5" customHeight="1">
      <c r="A2" s="17"/>
      <c r="B2" s="157"/>
      <c r="C2" s="88"/>
      <c r="D2" s="88"/>
      <c r="E2" s="88"/>
      <c r="F2" s="88"/>
      <c r="G2" s="88"/>
      <c r="H2" s="86" t="s">
        <v>184</v>
      </c>
    </row>
    <row r="3" spans="1:8" ht="15" customHeight="1">
      <c r="A3" s="17"/>
      <c r="B3" s="157"/>
      <c r="C3" s="88"/>
      <c r="D3" s="88"/>
      <c r="E3" s="88"/>
      <c r="F3" s="88"/>
      <c r="G3" s="88"/>
      <c r="H3" s="87" t="s">
        <v>616</v>
      </c>
    </row>
    <row r="4" spans="1:8" ht="15" customHeight="1">
      <c r="A4" s="17"/>
      <c r="B4" s="157"/>
      <c r="C4" s="88"/>
      <c r="D4" s="88"/>
      <c r="E4" s="88"/>
      <c r="F4" s="88"/>
      <c r="G4" s="88"/>
      <c r="H4" s="87" t="s">
        <v>762</v>
      </c>
    </row>
    <row r="5" spans="1:8" ht="15" customHeight="1">
      <c r="A5" s="17"/>
      <c r="B5" s="157"/>
      <c r="C5" s="88"/>
      <c r="D5" s="88"/>
      <c r="E5" s="88"/>
      <c r="F5" s="88"/>
      <c r="G5" s="88"/>
      <c r="H5" s="87" t="s">
        <v>627</v>
      </c>
    </row>
    <row r="6" spans="1:8" ht="15" customHeight="1">
      <c r="A6" s="16"/>
      <c r="B6" s="115"/>
      <c r="C6" s="115"/>
      <c r="D6" s="115"/>
      <c r="E6" s="115"/>
      <c r="F6" s="115"/>
      <c r="G6" s="115"/>
      <c r="H6" s="88"/>
    </row>
    <row r="7" spans="1:8" ht="15" customHeight="1">
      <c r="A7" s="17"/>
      <c r="B7" s="150"/>
      <c r="C7" s="150" t="s">
        <v>650</v>
      </c>
      <c r="D7" s="150"/>
      <c r="E7" s="150"/>
      <c r="F7" s="150"/>
      <c r="G7" s="150"/>
      <c r="H7" s="88"/>
    </row>
    <row r="8" spans="1:8" ht="15" customHeight="1">
      <c r="A8" s="17"/>
      <c r="B8" s="158"/>
      <c r="C8" s="167"/>
      <c r="D8" s="151"/>
      <c r="E8" s="151"/>
      <c r="F8" s="151"/>
      <c r="G8" s="151"/>
      <c r="H8" s="89"/>
    </row>
    <row r="9" spans="1:8" ht="15" customHeight="1">
      <c r="A9" s="7" t="s">
        <v>185</v>
      </c>
      <c r="B9" s="9" t="s">
        <v>186</v>
      </c>
      <c r="C9" s="168"/>
      <c r="D9" s="169" t="s">
        <v>187</v>
      </c>
      <c r="E9" s="152"/>
      <c r="F9" s="152"/>
      <c r="G9" s="170"/>
      <c r="H9" s="8" t="s">
        <v>188</v>
      </c>
    </row>
    <row r="10" spans="1:8" ht="45" customHeight="1">
      <c r="A10" s="6"/>
      <c r="B10" s="9"/>
      <c r="C10" s="153" t="s">
        <v>538</v>
      </c>
      <c r="D10" s="153" t="s">
        <v>189</v>
      </c>
      <c r="E10" s="153" t="s">
        <v>190</v>
      </c>
      <c r="F10" s="153" t="s">
        <v>191</v>
      </c>
      <c r="G10" s="153" t="s">
        <v>192</v>
      </c>
      <c r="H10" s="8"/>
    </row>
    <row r="11" spans="1:10" ht="15" customHeight="1">
      <c r="A11" s="15"/>
      <c r="B11" s="13"/>
      <c r="C11" s="154">
        <f t="shared" si="0" ref="C11:H11">C12+C27+C31+C89+C155+C166+C209+C275+C66</f>
        <v>912526.77</v>
      </c>
      <c r="D11" s="154">
        <f t="shared" si="0"/>
        <v>21259947.010000002</v>
      </c>
      <c r="E11" s="154">
        <f t="shared" si="0"/>
        <v>5202362</v>
      </c>
      <c r="F11" s="154">
        <f t="shared" si="0"/>
        <v>10392976</v>
      </c>
      <c r="G11" s="154">
        <f t="shared" si="0"/>
        <v>1023633</v>
      </c>
      <c r="H11" s="216">
        <f t="shared" si="0"/>
        <v>38791444.780000001</v>
      </c>
      <c r="I11" s="56"/>
      <c r="J11" s="114"/>
    </row>
    <row r="12" spans="1:9" ht="15" customHeight="1">
      <c r="A12" s="14" t="s">
        <v>193</v>
      </c>
      <c r="B12" s="71" t="s">
        <v>194</v>
      </c>
      <c r="C12" s="91">
        <f t="shared" si="1" ref="C12:G12">SUM(C13:C26)</f>
        <v>21.68</v>
      </c>
      <c r="D12" s="91">
        <f t="shared" si="1"/>
        <v>3536450.32</v>
      </c>
      <c r="E12" s="91">
        <f t="shared" si="1"/>
        <v>8850</v>
      </c>
      <c r="F12" s="91">
        <f t="shared" si="1"/>
        <v>47600</v>
      </c>
      <c r="G12" s="91">
        <f t="shared" si="1"/>
        <v>0</v>
      </c>
      <c r="H12" s="216">
        <f>SUM(H13:H26)</f>
        <v>3592922</v>
      </c>
      <c r="I12" s="56"/>
    </row>
    <row r="13" spans="1:9" ht="15" customHeight="1">
      <c r="A13" s="48"/>
      <c r="B13" s="70" t="s">
        <v>1</v>
      </c>
      <c r="C13" s="165"/>
      <c r="D13" s="67">
        <f>H13-E13-G13-F13-C13</f>
        <v>1531209</v>
      </c>
      <c r="E13" s="67"/>
      <c r="F13" s="67"/>
      <c r="G13" s="67"/>
      <c r="H13" s="216">
        <f>'4.pielikums'!B13</f>
        <v>1531209</v>
      </c>
      <c r="I13" s="56"/>
    </row>
    <row r="14" spans="1:9" ht="15" customHeight="1">
      <c r="A14" s="48"/>
      <c r="B14" s="70" t="s">
        <v>2</v>
      </c>
      <c r="C14" s="165"/>
      <c r="D14" s="67">
        <f>H14-E14-G14-F14-C14</f>
        <v>127701</v>
      </c>
      <c r="E14" s="67"/>
      <c r="F14" s="67"/>
      <c r="G14" s="67"/>
      <c r="H14" s="216">
        <f>'4.pielikums'!B14</f>
        <v>127701</v>
      </c>
      <c r="I14" s="56"/>
    </row>
    <row r="15" spans="1:9" ht="30" customHeight="1">
      <c r="A15" s="48"/>
      <c r="B15" s="69" t="s">
        <v>119</v>
      </c>
      <c r="C15" s="164"/>
      <c r="D15" s="67">
        <f t="shared" si="2" ref="D15:D26">H15-E15-G15-F15-C15</f>
        <v>236349</v>
      </c>
      <c r="E15" s="67"/>
      <c r="F15" s="67"/>
      <c r="G15" s="67"/>
      <c r="H15" s="216">
        <f>'4.pielikums'!B15</f>
        <v>236349</v>
      </c>
      <c r="I15" s="56"/>
    </row>
    <row r="16" spans="1:9" ht="15" customHeight="1">
      <c r="A16" s="48"/>
      <c r="B16" s="69" t="s">
        <v>150</v>
      </c>
      <c r="C16" s="164"/>
      <c r="D16" s="67">
        <f t="shared" si="2"/>
        <v>26000</v>
      </c>
      <c r="E16" s="67"/>
      <c r="F16" s="67"/>
      <c r="G16" s="67"/>
      <c r="H16" s="216">
        <f>'4.pielikums'!B16</f>
        <v>26000</v>
      </c>
      <c r="I16" s="56"/>
    </row>
    <row r="17" spans="1:9" ht="31.5" customHeight="1">
      <c r="A17" s="48"/>
      <c r="B17" s="69" t="s">
        <v>715</v>
      </c>
      <c r="C17" s="164"/>
      <c r="D17" s="67">
        <f t="shared" si="2"/>
        <v>100000</v>
      </c>
      <c r="E17" s="67"/>
      <c r="F17" s="67"/>
      <c r="G17" s="67"/>
      <c r="H17" s="216">
        <f>'4.pielikums'!C17</f>
        <v>100000</v>
      </c>
      <c r="I17" s="56"/>
    </row>
    <row r="18" spans="1:9" ht="15" customHeight="1">
      <c r="A18" s="48"/>
      <c r="B18" s="69" t="s">
        <v>644</v>
      </c>
      <c r="C18" s="164"/>
      <c r="D18" s="67">
        <f t="shared" si="2"/>
        <v>136744</v>
      </c>
      <c r="E18" s="67"/>
      <c r="F18" s="67"/>
      <c r="G18" s="67"/>
      <c r="H18" s="216">
        <f>'4.pielikums'!B19</f>
        <v>136744</v>
      </c>
      <c r="I18" s="56"/>
    </row>
    <row r="19" spans="1:9" ht="15" customHeight="1">
      <c r="A19" s="48"/>
      <c r="B19" s="70" t="s">
        <v>645</v>
      </c>
      <c r="C19" s="165"/>
      <c r="D19" s="67">
        <f t="shared" si="2"/>
        <v>110046</v>
      </c>
      <c r="E19" s="67"/>
      <c r="F19" s="67"/>
      <c r="G19" s="67"/>
      <c r="H19" s="216">
        <f>'4.pielikums'!B20</f>
        <v>110046</v>
      </c>
      <c r="I19" s="56"/>
    </row>
    <row r="20" spans="1:9" ht="15" customHeight="1">
      <c r="A20" s="48"/>
      <c r="B20" s="69" t="s">
        <v>648</v>
      </c>
      <c r="C20" s="164"/>
      <c r="D20" s="67">
        <f t="shared" si="2"/>
        <v>93037</v>
      </c>
      <c r="E20" s="67"/>
      <c r="F20" s="67"/>
      <c r="G20" s="67"/>
      <c r="H20" s="216">
        <f>'4.pielikums'!B21</f>
        <v>93037</v>
      </c>
      <c r="I20" s="56"/>
    </row>
    <row r="21" spans="1:9" ht="15" customHeight="1">
      <c r="A21" s="48"/>
      <c r="B21" s="69" t="s">
        <v>647</v>
      </c>
      <c r="C21" s="164"/>
      <c r="D21" s="67">
        <f t="shared" si="2"/>
        <v>134355</v>
      </c>
      <c r="E21" s="67"/>
      <c r="F21" s="67"/>
      <c r="G21" s="67"/>
      <c r="H21" s="216">
        <f>'4.pielikums'!B22</f>
        <v>134355</v>
      </c>
      <c r="I21" s="56"/>
    </row>
    <row r="22" spans="1:9" ht="30" customHeight="1">
      <c r="A22" s="48"/>
      <c r="B22" s="69" t="s">
        <v>75</v>
      </c>
      <c r="C22" s="164"/>
      <c r="D22" s="67">
        <f>H22-E22-G22-F22-C22</f>
        <v>66234</v>
      </c>
      <c r="E22" s="67">
        <v>8850</v>
      </c>
      <c r="F22" s="67">
        <f>26000+21600</f>
        <v>47600</v>
      </c>
      <c r="G22" s="67"/>
      <c r="H22" s="216">
        <f>'4.pielikums'!B23</f>
        <v>122684</v>
      </c>
      <c r="I22" s="56"/>
    </row>
    <row r="23" spans="1:9" ht="30" customHeight="1">
      <c r="A23" s="48"/>
      <c r="B23" s="69" t="s">
        <v>122</v>
      </c>
      <c r="C23" s="164">
        <v>21.68</v>
      </c>
      <c r="D23" s="67">
        <f t="shared" si="2"/>
        <v>806457.32</v>
      </c>
      <c r="E23" s="67"/>
      <c r="F23" s="67"/>
      <c r="G23" s="67"/>
      <c r="H23" s="216">
        <f>'4.pielikums'!B26</f>
        <v>806479</v>
      </c>
      <c r="I23" s="56"/>
    </row>
    <row r="24" spans="1:9" ht="15" customHeight="1">
      <c r="A24" s="48"/>
      <c r="B24" s="69" t="s">
        <v>3</v>
      </c>
      <c r="C24" s="164"/>
      <c r="D24" s="67">
        <f t="shared" si="2"/>
        <v>5000</v>
      </c>
      <c r="E24" s="67"/>
      <c r="F24" s="67"/>
      <c r="G24" s="67"/>
      <c r="H24" s="216">
        <f>'4.pielikums'!B24</f>
        <v>5000</v>
      </c>
      <c r="I24" s="56"/>
    </row>
    <row r="25" spans="1:9" ht="15" customHeight="1">
      <c r="A25" s="48"/>
      <c r="B25" s="70" t="s">
        <v>4</v>
      </c>
      <c r="C25" s="165"/>
      <c r="D25" s="67">
        <f t="shared" si="2"/>
        <v>48584</v>
      </c>
      <c r="E25" s="67"/>
      <c r="F25" s="67"/>
      <c r="G25" s="67"/>
      <c r="H25" s="216">
        <f>'4.pielikums'!B25</f>
        <v>48584</v>
      </c>
      <c r="I25" s="56"/>
    </row>
    <row r="26" spans="1:9" ht="15" customHeight="1">
      <c r="A26" s="48"/>
      <c r="B26" s="70" t="s">
        <v>609</v>
      </c>
      <c r="C26" s="165"/>
      <c r="D26" s="67">
        <f t="shared" si="2"/>
        <v>114734</v>
      </c>
      <c r="E26" s="67"/>
      <c r="F26" s="67"/>
      <c r="G26" s="67"/>
      <c r="H26" s="216">
        <f>'4.pielikums'!B18</f>
        <v>114734</v>
      </c>
      <c r="I26" s="56"/>
    </row>
    <row r="27" spans="1:9" ht="15" customHeight="1">
      <c r="A27" s="14" t="s">
        <v>195</v>
      </c>
      <c r="B27" s="72" t="s">
        <v>196</v>
      </c>
      <c r="C27" s="91">
        <f t="shared" si="3" ref="C27:H27">SUM(C28:C30)</f>
        <v>0</v>
      </c>
      <c r="D27" s="91">
        <f t="shared" si="3"/>
        <v>310305</v>
      </c>
      <c r="E27" s="91">
        <f t="shared" si="3"/>
        <v>31550</v>
      </c>
      <c r="F27" s="91">
        <f t="shared" si="3"/>
        <v>0</v>
      </c>
      <c r="G27" s="91">
        <f t="shared" si="3"/>
        <v>57764</v>
      </c>
      <c r="H27" s="216">
        <f t="shared" si="3"/>
        <v>399619</v>
      </c>
      <c r="I27" s="56"/>
    </row>
    <row r="28" spans="1:9" ht="15" customHeight="1">
      <c r="A28" s="51"/>
      <c r="B28" s="70" t="s">
        <v>5</v>
      </c>
      <c r="C28" s="165"/>
      <c r="D28" s="67">
        <f>H28-E28-G28-F28-C28</f>
        <v>79719</v>
      </c>
      <c r="E28" s="67">
        <v>4550</v>
      </c>
      <c r="F28" s="67"/>
      <c r="G28" s="67"/>
      <c r="H28" s="216">
        <f>'4.pielikums'!B27</f>
        <v>84269</v>
      </c>
      <c r="I28" s="56"/>
    </row>
    <row r="29" spans="1:9" ht="15" customHeight="1">
      <c r="A29" s="48"/>
      <c r="B29" s="70" t="s">
        <v>6</v>
      </c>
      <c r="C29" s="165"/>
      <c r="D29" s="67">
        <f>H29-E29-G29-F29-C29</f>
        <v>187017</v>
      </c>
      <c r="E29" s="67">
        <v>2000</v>
      </c>
      <c r="F29" s="67"/>
      <c r="G29" s="67">
        <v>57764</v>
      </c>
      <c r="H29" s="216">
        <f>'4.pielikums'!B28</f>
        <v>246781</v>
      </c>
      <c r="I29" s="56"/>
    </row>
    <row r="30" spans="1:9" ht="15" customHeight="1">
      <c r="A30" s="48"/>
      <c r="B30" s="70" t="s">
        <v>44</v>
      </c>
      <c r="C30" s="165"/>
      <c r="D30" s="67">
        <f>H30-E30-G30-F30-C30</f>
        <v>43569</v>
      </c>
      <c r="E30" s="67">
        <v>25000</v>
      </c>
      <c r="F30" s="67"/>
      <c r="G30" s="67"/>
      <c r="H30" s="216">
        <f>'4.pielikums'!B29</f>
        <v>68569</v>
      </c>
      <c r="I30" s="56"/>
    </row>
    <row r="31" spans="1:9" ht="15" customHeight="1">
      <c r="A31" s="14" t="s">
        <v>197</v>
      </c>
      <c r="B31" s="71" t="s">
        <v>198</v>
      </c>
      <c r="C31" s="155">
        <f t="shared" si="4" ref="C31:G31">SUM(C32:C65)</f>
        <v>662675.64</v>
      </c>
      <c r="D31" s="155">
        <f t="shared" si="4"/>
        <v>324357.14</v>
      </c>
      <c r="E31" s="155">
        <f t="shared" si="4"/>
        <v>7100</v>
      </c>
      <c r="F31" s="155">
        <f t="shared" si="4"/>
        <v>2812850</v>
      </c>
      <c r="G31" s="155">
        <f t="shared" si="4"/>
        <v>641395</v>
      </c>
      <c r="H31" s="216">
        <f>SUM(H32:H65)</f>
        <v>4448377.78</v>
      </c>
      <c r="I31" s="56"/>
    </row>
    <row r="32" spans="1:9" ht="15" customHeight="1">
      <c r="A32" s="51"/>
      <c r="B32" s="70" t="s">
        <v>199</v>
      </c>
      <c r="C32" s="165"/>
      <c r="D32" s="67">
        <f>H32-E32-G32-F32-C32</f>
        <v>56003</v>
      </c>
      <c r="E32" s="67">
        <v>3100</v>
      </c>
      <c r="F32" s="67"/>
      <c r="G32" s="67"/>
      <c r="H32" s="216">
        <f>'4.pielikums'!B30</f>
        <v>59103</v>
      </c>
      <c r="I32" s="56"/>
    </row>
    <row r="33" spans="1:9" ht="30" customHeight="1">
      <c r="A33" s="48"/>
      <c r="B33" s="69" t="s">
        <v>200</v>
      </c>
      <c r="C33" s="164"/>
      <c r="D33" s="67">
        <f t="shared" si="5" ref="D33:D65">H33-E33-G33-F33-C33</f>
        <v>84627</v>
      </c>
      <c r="E33" s="67">
        <v>4000</v>
      </c>
      <c r="F33" s="68"/>
      <c r="G33" s="67"/>
      <c r="H33" s="216">
        <f>'4.pielikums'!B33</f>
        <v>88627</v>
      </c>
      <c r="I33" s="56"/>
    </row>
    <row r="34" spans="1:9" ht="23.25" customHeight="1">
      <c r="A34" s="48"/>
      <c r="B34" s="69" t="s">
        <v>84</v>
      </c>
      <c r="C34" s="177">
        <v>766</v>
      </c>
      <c r="D34" s="67">
        <f t="shared" si="5"/>
        <v>282.77999999999884</v>
      </c>
      <c r="E34" s="67"/>
      <c r="F34" s="74">
        <v>66300</v>
      </c>
      <c r="G34" s="67"/>
      <c r="H34" s="216">
        <f>'4.pielikums'!B57</f>
        <v>67348.78</v>
      </c>
      <c r="I34" s="56"/>
    </row>
    <row r="35" spans="1:10" ht="15" customHeight="1">
      <c r="A35" s="52"/>
      <c r="B35" s="113" t="s">
        <v>51</v>
      </c>
      <c r="C35" s="164">
        <v>0</v>
      </c>
      <c r="D35" s="67">
        <f t="shared" si="5"/>
        <v>0</v>
      </c>
      <c r="E35" s="67"/>
      <c r="F35" s="67">
        <f>112482+10381</f>
        <v>122863</v>
      </c>
      <c r="G35" s="67"/>
      <c r="H35" s="216">
        <f>'4.pielikums'!B35</f>
        <v>122863</v>
      </c>
      <c r="I35" s="56"/>
      <c r="J35" s="61"/>
    </row>
    <row r="36" spans="1:9" ht="30" customHeight="1">
      <c r="A36" s="52"/>
      <c r="B36" s="113" t="s">
        <v>159</v>
      </c>
      <c r="C36" s="164">
        <v>25557</v>
      </c>
      <c r="D36" s="67">
        <f t="shared" si="5"/>
        <v>0</v>
      </c>
      <c r="E36" s="67"/>
      <c r="F36" s="67">
        <f>49493+5008</f>
        <v>54501</v>
      </c>
      <c r="G36" s="67"/>
      <c r="H36" s="216">
        <f>'4.pielikums'!B36</f>
        <v>80058</v>
      </c>
      <c r="I36" s="56"/>
    </row>
    <row r="37" spans="1:9" ht="30" customHeight="1">
      <c r="A37" s="52"/>
      <c r="B37" s="113" t="s">
        <v>52</v>
      </c>
      <c r="C37" s="123">
        <v>7403</v>
      </c>
      <c r="D37" s="67">
        <f t="shared" si="5"/>
        <v>0</v>
      </c>
      <c r="E37" s="67"/>
      <c r="F37" s="67">
        <v>29090</v>
      </c>
      <c r="G37" s="67"/>
      <c r="H37" s="216">
        <f>'4.pielikums'!B37</f>
        <v>36493</v>
      </c>
      <c r="I37" s="56"/>
    </row>
    <row r="38" spans="1:9" ht="30" customHeight="1">
      <c r="A38" s="52"/>
      <c r="B38" s="113" t="s">
        <v>53</v>
      </c>
      <c r="C38" s="123">
        <v>0</v>
      </c>
      <c r="D38" s="67">
        <f t="shared" si="5"/>
        <v>0</v>
      </c>
      <c r="E38" s="67"/>
      <c r="F38" s="67">
        <v>22019</v>
      </c>
      <c r="G38" s="67"/>
      <c r="H38" s="216">
        <f>'4.pielikums'!B38</f>
        <v>22019</v>
      </c>
      <c r="I38" s="56"/>
    </row>
    <row r="39" spans="1:9" ht="30" customHeight="1">
      <c r="A39" s="52"/>
      <c r="B39" s="113" t="s">
        <v>54</v>
      </c>
      <c r="C39" s="123">
        <v>19107</v>
      </c>
      <c r="D39" s="67">
        <f t="shared" si="5"/>
        <v>0</v>
      </c>
      <c r="E39" s="67"/>
      <c r="F39" s="67">
        <v>41360</v>
      </c>
      <c r="G39" s="67"/>
      <c r="H39" s="216">
        <f>'4.pielikums'!B39</f>
        <v>60467</v>
      </c>
      <c r="I39" s="56"/>
    </row>
    <row r="40" spans="1:9" ht="30" customHeight="1">
      <c r="A40" s="52"/>
      <c r="B40" s="113" t="s">
        <v>55</v>
      </c>
      <c r="C40" s="123">
        <v>21445.75</v>
      </c>
      <c r="D40" s="67">
        <f t="shared" si="5"/>
        <v>0.25</v>
      </c>
      <c r="E40" s="67"/>
      <c r="F40" s="67">
        <v>23802</v>
      </c>
      <c r="G40" s="67"/>
      <c r="H40" s="216">
        <f>'4.pielikums'!B40</f>
        <v>45248</v>
      </c>
      <c r="I40" s="56"/>
    </row>
    <row r="41" spans="1:9" ht="30" customHeight="1">
      <c r="A41" s="52"/>
      <c r="B41" s="113" t="s">
        <v>56</v>
      </c>
      <c r="C41" s="123">
        <v>12679.69</v>
      </c>
      <c r="D41" s="67">
        <f t="shared" si="5"/>
        <v>0.30999999999949068</v>
      </c>
      <c r="E41" s="67"/>
      <c r="F41" s="67">
        <v>12640</v>
      </c>
      <c r="G41" s="67"/>
      <c r="H41" s="216">
        <f>'4.pielikums'!B41</f>
        <v>25320</v>
      </c>
      <c r="I41" s="56"/>
    </row>
    <row r="42" spans="1:9" ht="30" customHeight="1">
      <c r="A42" s="52"/>
      <c r="B42" s="113" t="s">
        <v>57</v>
      </c>
      <c r="C42" s="123">
        <v>0</v>
      </c>
      <c r="D42" s="67">
        <f t="shared" si="5"/>
        <v>0</v>
      </c>
      <c r="E42" s="67"/>
      <c r="F42" s="67">
        <v>42398</v>
      </c>
      <c r="G42" s="67"/>
      <c r="H42" s="216">
        <f>'4.pielikums'!B42</f>
        <v>42398</v>
      </c>
      <c r="I42" s="56"/>
    </row>
    <row r="43" spans="1:9" ht="30" customHeight="1">
      <c r="A43" s="52"/>
      <c r="B43" s="113" t="s">
        <v>157</v>
      </c>
      <c r="C43" s="123">
        <v>14192</v>
      </c>
      <c r="D43" s="67">
        <f t="shared" si="5"/>
        <v>0</v>
      </c>
      <c r="E43" s="67"/>
      <c r="F43" s="67">
        <v>8740</v>
      </c>
      <c r="G43" s="67"/>
      <c r="H43" s="216">
        <f>'4.pielikums'!B43</f>
        <v>22932</v>
      </c>
      <c r="I43" s="56"/>
    </row>
    <row r="44" spans="1:9" ht="30" customHeight="1">
      <c r="A44" s="52"/>
      <c r="B44" s="113" t="s">
        <v>58</v>
      </c>
      <c r="C44" s="123">
        <v>1942</v>
      </c>
      <c r="D44" s="67">
        <f t="shared" si="5"/>
        <v>0</v>
      </c>
      <c r="E44" s="67"/>
      <c r="F44" s="67">
        <v>15158</v>
      </c>
      <c r="G44" s="67"/>
      <c r="H44" s="216">
        <f>'4.pielikums'!B44</f>
        <v>17100</v>
      </c>
      <c r="I44" s="56"/>
    </row>
    <row r="45" spans="1:9" ht="30" customHeight="1">
      <c r="A45" s="52"/>
      <c r="B45" s="113" t="s">
        <v>155</v>
      </c>
      <c r="C45" s="123">
        <v>20824</v>
      </c>
      <c r="D45" s="67">
        <f t="shared" si="5"/>
        <v>0</v>
      </c>
      <c r="E45" s="67"/>
      <c r="F45" s="67">
        <f>58624+28735</f>
        <v>87359</v>
      </c>
      <c r="G45" s="67"/>
      <c r="H45" s="216">
        <f>'4.pielikums'!B45</f>
        <v>108183</v>
      </c>
      <c r="I45" s="56"/>
    </row>
    <row r="46" spans="1:9" ht="30" customHeight="1">
      <c r="A46" s="52"/>
      <c r="B46" s="113" t="s">
        <v>156</v>
      </c>
      <c r="C46" s="123">
        <v>10524</v>
      </c>
      <c r="D46" s="67">
        <f t="shared" si="5"/>
        <v>0</v>
      </c>
      <c r="E46" s="67"/>
      <c r="F46" s="67">
        <v>34163</v>
      </c>
      <c r="G46" s="67"/>
      <c r="H46" s="216">
        <f>'4.pielikums'!B46</f>
        <v>44687</v>
      </c>
      <c r="I46" s="56"/>
    </row>
    <row r="47" spans="1:9" ht="30" customHeight="1">
      <c r="A47" s="52"/>
      <c r="B47" s="113" t="s">
        <v>158</v>
      </c>
      <c r="C47" s="123">
        <v>157656</v>
      </c>
      <c r="D47" s="67">
        <f t="shared" si="5"/>
        <v>0</v>
      </c>
      <c r="E47" s="67"/>
      <c r="F47" s="67">
        <f>76483+28656</f>
        <v>105139</v>
      </c>
      <c r="G47" s="67"/>
      <c r="H47" s="216">
        <f>'4.pielikums'!B47</f>
        <v>262795</v>
      </c>
      <c r="I47" s="56"/>
    </row>
    <row r="48" spans="1:9" ht="30" customHeight="1">
      <c r="A48" s="52"/>
      <c r="B48" s="113" t="s">
        <v>160</v>
      </c>
      <c r="C48" s="123">
        <v>40533</v>
      </c>
      <c r="D48" s="67">
        <f t="shared" si="5"/>
        <v>0</v>
      </c>
      <c r="E48" s="67"/>
      <c r="F48" s="67">
        <v>30499</v>
      </c>
      <c r="G48" s="67"/>
      <c r="H48" s="216">
        <f>'4.pielikums'!B48</f>
        <v>71032</v>
      </c>
      <c r="I48" s="56"/>
    </row>
    <row r="49" spans="1:9" ht="30" customHeight="1">
      <c r="A49" s="52"/>
      <c r="B49" s="113" t="s">
        <v>161</v>
      </c>
      <c r="C49" s="123">
        <v>39429.199999999997</v>
      </c>
      <c r="D49" s="67">
        <f t="shared" si="5"/>
        <v>-0.19999999999708962</v>
      </c>
      <c r="E49" s="67"/>
      <c r="F49" s="67">
        <v>49288</v>
      </c>
      <c r="G49" s="67"/>
      <c r="H49" s="216">
        <f>'4.pielikums'!B49</f>
        <v>88717</v>
      </c>
      <c r="I49" s="56"/>
    </row>
    <row r="50" spans="1:9" ht="30" customHeight="1">
      <c r="A50" s="52"/>
      <c r="B50" s="113" t="s">
        <v>59</v>
      </c>
      <c r="C50" s="123">
        <v>11416</v>
      </c>
      <c r="D50" s="67">
        <f t="shared" si="5"/>
        <v>0</v>
      </c>
      <c r="E50" s="67"/>
      <c r="F50" s="67">
        <v>35143</v>
      </c>
      <c r="G50" s="67"/>
      <c r="H50" s="216">
        <f>'4.pielikums'!B50</f>
        <v>46559</v>
      </c>
      <c r="I50" s="56"/>
    </row>
    <row r="51" spans="1:9" ht="30" customHeight="1">
      <c r="A51" s="52"/>
      <c r="B51" s="113" t="s">
        <v>60</v>
      </c>
      <c r="C51" s="123">
        <v>12149</v>
      </c>
      <c r="D51" s="67">
        <f t="shared" si="5"/>
        <v>0</v>
      </c>
      <c r="E51" s="67"/>
      <c r="F51" s="67">
        <v>12095</v>
      </c>
      <c r="G51" s="67"/>
      <c r="H51" s="216">
        <f>'4.pielikums'!B51</f>
        <v>24244</v>
      </c>
      <c r="I51" s="56"/>
    </row>
    <row r="52" spans="1:9" ht="30" customHeight="1">
      <c r="A52" s="52"/>
      <c r="B52" s="113" t="s">
        <v>164</v>
      </c>
      <c r="C52" s="164">
        <v>19955</v>
      </c>
      <c r="D52" s="67">
        <f t="shared" si="5"/>
        <v>0</v>
      </c>
      <c r="E52" s="67"/>
      <c r="F52" s="67">
        <v>25728</v>
      </c>
      <c r="G52" s="67"/>
      <c r="H52" s="216">
        <f>'4.pielikums'!B52</f>
        <v>45683</v>
      </c>
      <c r="I52" s="56"/>
    </row>
    <row r="53" spans="1:9" ht="30" customHeight="1">
      <c r="A53" s="52"/>
      <c r="B53" s="113" t="s">
        <v>61</v>
      </c>
      <c r="C53" s="123">
        <v>15738</v>
      </c>
      <c r="D53" s="67">
        <f>H53-E53-G53-F53-C53</f>
        <v>0</v>
      </c>
      <c r="E53" s="67"/>
      <c r="F53" s="67">
        <v>22643</v>
      </c>
      <c r="G53" s="67"/>
      <c r="H53" s="216">
        <f>'4.pielikums'!B53</f>
        <v>38381</v>
      </c>
      <c r="I53" s="56"/>
    </row>
    <row r="54" spans="1:9" ht="30" customHeight="1">
      <c r="A54" s="52"/>
      <c r="B54" s="113" t="s">
        <v>162</v>
      </c>
      <c r="C54" s="123">
        <v>679</v>
      </c>
      <c r="D54" s="67">
        <f t="shared" si="5"/>
        <v>0</v>
      </c>
      <c r="E54" s="67"/>
      <c r="F54" s="67">
        <v>9353</v>
      </c>
      <c r="G54" s="67"/>
      <c r="H54" s="216">
        <f>'4.pielikums'!B54</f>
        <v>10032</v>
      </c>
      <c r="I54" s="56"/>
    </row>
    <row r="55" spans="1:10" ht="30" customHeight="1">
      <c r="A55" s="52"/>
      <c r="B55" s="113" t="s">
        <v>163</v>
      </c>
      <c r="C55" s="164">
        <v>0</v>
      </c>
      <c r="D55" s="67">
        <f t="shared" si="5"/>
        <v>0</v>
      </c>
      <c r="E55" s="67"/>
      <c r="F55" s="67">
        <v>28166</v>
      </c>
      <c r="G55" s="67"/>
      <c r="H55" s="216">
        <f>'4.pielikums'!B55</f>
        <v>28166</v>
      </c>
      <c r="I55" s="56"/>
      <c r="J55" s="56"/>
    </row>
    <row r="56" spans="1:11" ht="30" customHeight="1">
      <c r="A56" s="52"/>
      <c r="B56" s="159" t="s">
        <v>565</v>
      </c>
      <c r="C56" s="164">
        <v>178795</v>
      </c>
      <c r="D56" s="67">
        <f t="shared" si="5"/>
        <v>0</v>
      </c>
      <c r="E56" s="67"/>
      <c r="F56" s="67">
        <v>191362</v>
      </c>
      <c r="G56" s="67"/>
      <c r="H56" s="216">
        <f>'4.pielikums'!B56</f>
        <v>370157</v>
      </c>
      <c r="I56" s="56"/>
      <c r="J56" s="56"/>
      <c r="K56" s="56"/>
    </row>
    <row r="57" spans="1:9" ht="30" customHeight="1">
      <c r="A57" s="48"/>
      <c r="B57" s="69" t="s">
        <v>46</v>
      </c>
      <c r="C57" s="164"/>
      <c r="D57" s="67">
        <f t="shared" si="5"/>
        <v>3444</v>
      </c>
      <c r="E57" s="67"/>
      <c r="F57" s="67"/>
      <c r="G57" s="67"/>
      <c r="H57" s="216">
        <f>'4.pielikums'!B32</f>
        <v>3444</v>
      </c>
      <c r="I57" s="56"/>
    </row>
    <row r="58" spans="1:9" ht="15" customHeight="1">
      <c r="A58" s="48"/>
      <c r="B58" s="69" t="s">
        <v>8</v>
      </c>
      <c r="C58" s="164"/>
      <c r="D58" s="67">
        <f t="shared" si="5"/>
        <v>100000</v>
      </c>
      <c r="E58" s="67"/>
      <c r="F58" s="67"/>
      <c r="G58" s="67"/>
      <c r="H58" s="216">
        <f>'4.pielikums'!B31</f>
        <v>100000</v>
      </c>
      <c r="I58" s="56"/>
    </row>
    <row r="59" spans="1:9" ht="18" customHeight="1">
      <c r="A59" s="48"/>
      <c r="B59" s="69" t="s">
        <v>201</v>
      </c>
      <c r="C59" s="164"/>
      <c r="D59" s="67">
        <f t="shared" si="5"/>
        <v>50000</v>
      </c>
      <c r="E59" s="67"/>
      <c r="F59" s="67"/>
      <c r="G59" s="67"/>
      <c r="H59" s="216">
        <f>'4.pielikums'!B34</f>
        <v>50000</v>
      </c>
      <c r="I59" s="56"/>
    </row>
    <row r="60" spans="1:9" ht="33" customHeight="1">
      <c r="A60" s="48"/>
      <c r="B60" s="212" t="s">
        <v>607</v>
      </c>
      <c r="C60" s="177"/>
      <c r="D60" s="213">
        <f t="shared" si="5"/>
        <v>0</v>
      </c>
      <c r="E60" s="213"/>
      <c r="F60" s="213">
        <v>12000</v>
      </c>
      <c r="G60" s="67"/>
      <c r="H60" s="216">
        <f>'4.pielikums'!B258</f>
        <v>12000</v>
      </c>
      <c r="I60" s="56"/>
    </row>
    <row r="61" spans="1:9" ht="42.75" customHeight="1">
      <c r="A61" s="50"/>
      <c r="B61" s="214" t="s">
        <v>714</v>
      </c>
      <c r="C61" s="215"/>
      <c r="D61" s="213">
        <f t="shared" si="5"/>
        <v>0</v>
      </c>
      <c r="E61" s="213"/>
      <c r="F61" s="213">
        <v>260434</v>
      </c>
      <c r="G61" s="67">
        <v>201262</v>
      </c>
      <c r="H61" s="216">
        <f>'4.pielikums'!B58</f>
        <v>461696</v>
      </c>
      <c r="I61" s="56"/>
    </row>
    <row r="62" spans="1:9" ht="23.45" customHeight="1">
      <c r="A62" s="50"/>
      <c r="B62" s="214" t="s">
        <v>622</v>
      </c>
      <c r="C62" s="215"/>
      <c r="D62" s="213">
        <f t="shared" si="5"/>
        <v>30000</v>
      </c>
      <c r="E62" s="213"/>
      <c r="F62" s="213"/>
      <c r="G62" s="67"/>
      <c r="H62" s="216">
        <f>'4.pielikums'!B262</f>
        <v>30000</v>
      </c>
      <c r="I62" s="56"/>
    </row>
    <row r="63" spans="1:9" ht="55.5" customHeight="1">
      <c r="A63" s="50"/>
      <c r="B63" s="160" t="s">
        <v>668</v>
      </c>
      <c r="C63" s="123">
        <v>51885</v>
      </c>
      <c r="D63" s="67">
        <f t="shared" si="5"/>
        <v>0</v>
      </c>
      <c r="E63" s="67"/>
      <c r="F63" s="67"/>
      <c r="G63" s="67"/>
      <c r="H63" s="216">
        <f>'4.pielikums'!B273</f>
        <v>51885</v>
      </c>
      <c r="I63" s="56"/>
    </row>
    <row r="64" spans="1:9" ht="65.45" customHeight="1">
      <c r="A64" s="50"/>
      <c r="B64" s="160" t="s">
        <v>652</v>
      </c>
      <c r="C64" s="123"/>
      <c r="D64" s="67">
        <f t="shared" si="5"/>
        <v>0</v>
      </c>
      <c r="E64" s="67"/>
      <c r="F64" s="67">
        <v>227396</v>
      </c>
      <c r="G64" s="67">
        <v>69853</v>
      </c>
      <c r="H64" s="216">
        <f>'4.pielikums'!B270</f>
        <v>297249</v>
      </c>
      <c r="I64" s="56"/>
    </row>
    <row r="65" spans="1:9" ht="54" customHeight="1">
      <c r="A65" s="50"/>
      <c r="B65" s="160" t="s">
        <v>653</v>
      </c>
      <c r="C65" s="123"/>
      <c r="D65" s="67">
        <f t="shared" si="5"/>
        <v>0</v>
      </c>
      <c r="E65" s="67"/>
      <c r="F65" s="67">
        <v>1243211</v>
      </c>
      <c r="G65" s="67">
        <v>370280</v>
      </c>
      <c r="H65" s="216">
        <f>'4.pielikums'!B271</f>
        <v>1613491</v>
      </c>
      <c r="I65" s="56"/>
    </row>
    <row r="66" spans="1:9" ht="15" customHeight="1">
      <c r="A66" s="14" t="s">
        <v>202</v>
      </c>
      <c r="B66" s="72" t="s">
        <v>203</v>
      </c>
      <c r="C66" s="91">
        <f t="shared" si="6" ref="C66:H66">SUM(C67:C88)</f>
        <v>50658.94</v>
      </c>
      <c r="D66" s="91">
        <f t="shared" si="6"/>
        <v>86173.06</v>
      </c>
      <c r="E66" s="91">
        <f t="shared" si="6"/>
        <v>105843</v>
      </c>
      <c r="F66" s="91">
        <f t="shared" si="6"/>
        <v>0</v>
      </c>
      <c r="G66" s="91">
        <f t="shared" si="6"/>
        <v>0</v>
      </c>
      <c r="H66" s="216">
        <f t="shared" si="6"/>
        <v>242675</v>
      </c>
      <c r="I66" s="56"/>
    </row>
    <row r="67" spans="1:9" ht="30" customHeight="1">
      <c r="A67" s="48"/>
      <c r="B67" s="69" t="s">
        <v>62</v>
      </c>
      <c r="C67" s="164">
        <v>50658.94</v>
      </c>
      <c r="D67" s="67">
        <f>H67-E67-G67-F67-C67</f>
        <v>50000.06</v>
      </c>
      <c r="E67" s="67"/>
      <c r="F67" s="67"/>
      <c r="G67" s="67"/>
      <c r="H67" s="216">
        <f>'4.pielikums'!B59</f>
        <v>100659</v>
      </c>
      <c r="I67" s="56"/>
    </row>
    <row r="68" spans="1:9" ht="30" customHeight="1">
      <c r="A68" s="48"/>
      <c r="B68" s="161" t="s">
        <v>253</v>
      </c>
      <c r="C68" s="164"/>
      <c r="D68" s="67">
        <f t="shared" si="7" ref="D68:D88">H68-E68-G68-F68-C68</f>
        <v>0</v>
      </c>
      <c r="E68" s="67">
        <v>7456</v>
      </c>
      <c r="F68" s="67"/>
      <c r="G68" s="67"/>
      <c r="H68" s="216">
        <f>'4.pielikums'!B60</f>
        <v>7456</v>
      </c>
      <c r="I68" s="56"/>
    </row>
    <row r="69" spans="1:9" s="55" customFormat="1" ht="30" customHeight="1">
      <c r="A69" s="60"/>
      <c r="B69" s="161" t="s">
        <v>557</v>
      </c>
      <c r="C69" s="123"/>
      <c r="D69" s="67">
        <f t="shared" si="7"/>
        <v>716</v>
      </c>
      <c r="E69" s="67">
        <v>2845</v>
      </c>
      <c r="F69" s="74"/>
      <c r="G69" s="74"/>
      <c r="H69" s="204">
        <f>'4.pielikums'!B61</f>
        <v>3561</v>
      </c>
      <c r="I69" s="56"/>
    </row>
    <row r="70" spans="1:9" ht="30" customHeight="1">
      <c r="A70" s="48"/>
      <c r="B70" s="76" t="s">
        <v>180</v>
      </c>
      <c r="C70" s="164"/>
      <c r="D70" s="67">
        <f t="shared" si="7"/>
        <v>0</v>
      </c>
      <c r="E70" s="67">
        <v>5646</v>
      </c>
      <c r="F70" s="67"/>
      <c r="G70" s="67"/>
      <c r="H70" s="216">
        <f>'4.pielikums'!B62</f>
        <v>5646</v>
      </c>
      <c r="I70" s="56"/>
    </row>
    <row r="71" spans="1:9" s="55" customFormat="1" ht="30" customHeight="1">
      <c r="A71" s="60"/>
      <c r="B71" s="161" t="s">
        <v>558</v>
      </c>
      <c r="C71" s="123"/>
      <c r="D71" s="67">
        <f t="shared" si="7"/>
        <v>2894</v>
      </c>
      <c r="E71" s="74">
        <v>2995</v>
      </c>
      <c r="F71" s="74"/>
      <c r="G71" s="74"/>
      <c r="H71" s="204">
        <f>'4.pielikums'!B63</f>
        <v>5889</v>
      </c>
      <c r="I71" s="56"/>
    </row>
    <row r="72" spans="1:9" ht="30" customHeight="1">
      <c r="A72" s="48"/>
      <c r="B72" s="76" t="s">
        <v>178</v>
      </c>
      <c r="C72" s="164"/>
      <c r="D72" s="67">
        <f t="shared" si="7"/>
        <v>1630</v>
      </c>
      <c r="E72" s="67">
        <v>2350</v>
      </c>
      <c r="F72" s="67"/>
      <c r="G72" s="67"/>
      <c r="H72" s="216">
        <f>'4.pielikums'!B64</f>
        <v>3980</v>
      </c>
      <c r="I72" s="56"/>
    </row>
    <row r="73" spans="1:9" ht="30" customHeight="1">
      <c r="A73" s="48"/>
      <c r="B73" s="76" t="s">
        <v>179</v>
      </c>
      <c r="C73" s="164"/>
      <c r="D73" s="67">
        <f t="shared" si="7"/>
        <v>0</v>
      </c>
      <c r="E73" s="67">
        <v>8580</v>
      </c>
      <c r="F73" s="67"/>
      <c r="G73" s="67"/>
      <c r="H73" s="216">
        <f>'4.pielikums'!B65</f>
        <v>8580</v>
      </c>
      <c r="I73" s="56"/>
    </row>
    <row r="74" spans="1:9" ht="30" customHeight="1">
      <c r="A74" s="48"/>
      <c r="B74" s="76" t="s">
        <v>89</v>
      </c>
      <c r="C74" s="164"/>
      <c r="D74" s="67">
        <f t="shared" si="7"/>
        <v>0</v>
      </c>
      <c r="E74" s="67">
        <v>5700</v>
      </c>
      <c r="F74" s="67"/>
      <c r="G74" s="67"/>
      <c r="H74" s="216">
        <f>'4.pielikums'!B66</f>
        <v>5700</v>
      </c>
      <c r="I74" s="56"/>
    </row>
    <row r="75" spans="1:9" ht="30" customHeight="1">
      <c r="A75" s="48"/>
      <c r="B75" s="113" t="s">
        <v>254</v>
      </c>
      <c r="C75" s="164"/>
      <c r="D75" s="67">
        <f t="shared" si="7"/>
        <v>0</v>
      </c>
      <c r="E75" s="67">
        <v>9130</v>
      </c>
      <c r="F75" s="67"/>
      <c r="G75" s="67"/>
      <c r="H75" s="216">
        <f>'4.pielikums'!B67</f>
        <v>9130</v>
      </c>
      <c r="I75" s="56"/>
    </row>
    <row r="76" spans="1:9" s="55" customFormat="1" ht="30" customHeight="1">
      <c r="A76" s="60"/>
      <c r="B76" s="113" t="s">
        <v>559</v>
      </c>
      <c r="C76" s="123"/>
      <c r="D76" s="67">
        <f t="shared" si="7"/>
        <v>2081</v>
      </c>
      <c r="E76" s="74">
        <v>989</v>
      </c>
      <c r="F76" s="74"/>
      <c r="G76" s="74"/>
      <c r="H76" s="204">
        <f>'4.pielikums'!B68</f>
        <v>3070</v>
      </c>
      <c r="I76" s="56"/>
    </row>
    <row r="77" spans="1:9" ht="30" customHeight="1">
      <c r="A77" s="48"/>
      <c r="B77" s="76" t="s">
        <v>86</v>
      </c>
      <c r="C77" s="164"/>
      <c r="D77" s="67">
        <f t="shared" si="7"/>
        <v>186</v>
      </c>
      <c r="E77" s="74">
        <v>6900</v>
      </c>
      <c r="F77" s="67"/>
      <c r="G77" s="67"/>
      <c r="H77" s="216">
        <f>'4.pielikums'!B69</f>
        <v>7086</v>
      </c>
      <c r="I77" s="56"/>
    </row>
    <row r="78" spans="1:9" ht="30" customHeight="1">
      <c r="A78" s="48"/>
      <c r="B78" s="76" t="s">
        <v>88</v>
      </c>
      <c r="C78" s="164"/>
      <c r="D78" s="67">
        <f t="shared" si="7"/>
        <v>0</v>
      </c>
      <c r="E78" s="67">
        <v>2410</v>
      </c>
      <c r="F78" s="67"/>
      <c r="G78" s="67"/>
      <c r="H78" s="216">
        <f>'4.pielikums'!B70</f>
        <v>2410</v>
      </c>
      <c r="I78" s="56"/>
    </row>
    <row r="79" spans="1:9" ht="30" customHeight="1">
      <c r="A79" s="48"/>
      <c r="B79" s="113" t="s">
        <v>252</v>
      </c>
      <c r="C79" s="123"/>
      <c r="D79" s="67">
        <f t="shared" si="7"/>
        <v>2603</v>
      </c>
      <c r="E79" s="67">
        <v>5367</v>
      </c>
      <c r="F79" s="67"/>
      <c r="G79" s="67"/>
      <c r="H79" s="216">
        <f>'4.pielikums'!B71</f>
        <v>7970</v>
      </c>
      <c r="I79" s="56"/>
    </row>
    <row r="80" spans="1:9" ht="30" customHeight="1">
      <c r="A80" s="48"/>
      <c r="B80" s="76" t="s">
        <v>181</v>
      </c>
      <c r="C80" s="164"/>
      <c r="D80" s="67">
        <f t="shared" si="7"/>
        <v>4118</v>
      </c>
      <c r="E80" s="67">
        <v>5400</v>
      </c>
      <c r="F80" s="67"/>
      <c r="G80" s="67"/>
      <c r="H80" s="216">
        <f>'4.pielikums'!B72</f>
        <v>9518</v>
      </c>
      <c r="I80" s="56"/>
    </row>
    <row r="81" spans="1:9" ht="30" customHeight="1">
      <c r="A81" s="48"/>
      <c r="B81" s="76" t="s">
        <v>87</v>
      </c>
      <c r="C81" s="164"/>
      <c r="D81" s="67">
        <f t="shared" si="7"/>
        <v>0</v>
      </c>
      <c r="E81" s="67">
        <v>410</v>
      </c>
      <c r="F81" s="67"/>
      <c r="G81" s="67"/>
      <c r="H81" s="216">
        <f>'4.pielikums'!B73</f>
        <v>410</v>
      </c>
      <c r="I81" s="56"/>
    </row>
    <row r="82" spans="1:9" ht="30" customHeight="1">
      <c r="A82" s="48"/>
      <c r="B82" s="76" t="s">
        <v>90</v>
      </c>
      <c r="C82" s="164"/>
      <c r="D82" s="67">
        <f t="shared" si="7"/>
        <v>648</v>
      </c>
      <c r="E82" s="67">
        <v>2100</v>
      </c>
      <c r="F82" s="67"/>
      <c r="G82" s="67"/>
      <c r="H82" s="216">
        <f>'4.pielikums'!B74</f>
        <v>2748</v>
      </c>
      <c r="I82" s="56"/>
    </row>
    <row r="83" spans="1:9" ht="30" customHeight="1">
      <c r="A83" s="48"/>
      <c r="B83" s="76" t="s">
        <v>153</v>
      </c>
      <c r="C83" s="164"/>
      <c r="D83" s="67">
        <f t="shared" si="7"/>
        <v>0</v>
      </c>
      <c r="E83" s="67">
        <v>19600</v>
      </c>
      <c r="F83" s="67"/>
      <c r="G83" s="67"/>
      <c r="H83" s="216">
        <f>'4.pielikums'!B75</f>
        <v>19600</v>
      </c>
      <c r="I83" s="56"/>
    </row>
    <row r="84" spans="1:9" s="55" customFormat="1" ht="30" customHeight="1">
      <c r="A84" s="60"/>
      <c r="B84" s="76" t="s">
        <v>560</v>
      </c>
      <c r="C84" s="123"/>
      <c r="D84" s="67">
        <f t="shared" si="7"/>
        <v>0</v>
      </c>
      <c r="E84" s="74">
        <v>6665</v>
      </c>
      <c r="F84" s="74"/>
      <c r="G84" s="74"/>
      <c r="H84" s="204">
        <f>'4.pielikums'!B76</f>
        <v>6665</v>
      </c>
      <c r="I84" s="56"/>
    </row>
    <row r="85" spans="1:9" ht="30" customHeight="1">
      <c r="A85" s="48"/>
      <c r="B85" s="76" t="s">
        <v>91</v>
      </c>
      <c r="C85" s="164"/>
      <c r="D85" s="67">
        <f t="shared" si="7"/>
        <v>0</v>
      </c>
      <c r="E85" s="67">
        <v>9500</v>
      </c>
      <c r="F85" s="67"/>
      <c r="G85" s="67"/>
      <c r="H85" s="216">
        <f>'4.pielikums'!B77</f>
        <v>9500</v>
      </c>
      <c r="I85" s="56"/>
    </row>
    <row r="86" spans="1:9" ht="30" customHeight="1">
      <c r="A86" s="48"/>
      <c r="B86" s="76" t="s">
        <v>85</v>
      </c>
      <c r="C86" s="164"/>
      <c r="D86" s="67">
        <f t="shared" si="7"/>
        <v>3432</v>
      </c>
      <c r="E86" s="67">
        <v>1800</v>
      </c>
      <c r="F86" s="67"/>
      <c r="G86" s="67"/>
      <c r="H86" s="216">
        <f>'4.pielikums'!B78</f>
        <v>5232</v>
      </c>
      <c r="I86" s="56"/>
    </row>
    <row r="87" spans="1:9" ht="38.25" customHeight="1">
      <c r="A87" s="48"/>
      <c r="B87" s="76" t="s">
        <v>572</v>
      </c>
      <c r="C87" s="164"/>
      <c r="D87" s="67">
        <f t="shared" si="7"/>
        <v>7865</v>
      </c>
      <c r="E87" s="67"/>
      <c r="F87" s="67"/>
      <c r="G87" s="67"/>
      <c r="H87" s="216">
        <f>'4.pielikums'!B255</f>
        <v>7865</v>
      </c>
      <c r="I87" s="56"/>
    </row>
    <row r="88" spans="1:9" ht="51" customHeight="1">
      <c r="A88" s="48"/>
      <c r="B88" s="181" t="s">
        <v>654</v>
      </c>
      <c r="C88" s="164"/>
      <c r="D88" s="67">
        <f t="shared" si="7"/>
        <v>10000</v>
      </c>
      <c r="E88" s="67"/>
      <c r="F88" s="67"/>
      <c r="G88" s="67"/>
      <c r="H88" s="216">
        <f>'4.pielikums'!B272</f>
        <v>10000</v>
      </c>
      <c r="I88" s="56"/>
    </row>
    <row r="89" spans="1:9" ht="30" customHeight="1">
      <c r="A89" s="53" t="s">
        <v>204</v>
      </c>
      <c r="B89" s="72" t="s">
        <v>205</v>
      </c>
      <c r="C89" s="91">
        <f t="shared" si="8" ref="C89:H89">C90+C93</f>
        <v>0</v>
      </c>
      <c r="D89" s="91">
        <f t="shared" si="8"/>
        <v>3303113</v>
      </c>
      <c r="E89" s="91">
        <f t="shared" si="8"/>
        <v>2329961</v>
      </c>
      <c r="F89" s="91">
        <f t="shared" si="8"/>
        <v>232655</v>
      </c>
      <c r="G89" s="91">
        <f t="shared" si="8"/>
        <v>134294</v>
      </c>
      <c r="H89" s="216">
        <f t="shared" si="8"/>
        <v>6000023</v>
      </c>
      <c r="I89" s="56"/>
    </row>
    <row r="90" spans="1:9" ht="15" customHeight="1">
      <c r="A90" s="51"/>
      <c r="B90" s="71" t="s">
        <v>206</v>
      </c>
      <c r="C90" s="91">
        <f t="shared" si="9" ref="C90:H90">SUM(C91:C92)</f>
        <v>0</v>
      </c>
      <c r="D90" s="91">
        <f t="shared" si="9"/>
        <v>133076</v>
      </c>
      <c r="E90" s="91">
        <f t="shared" si="9"/>
        <v>0</v>
      </c>
      <c r="F90" s="91">
        <f t="shared" si="9"/>
        <v>0</v>
      </c>
      <c r="G90" s="91">
        <f t="shared" si="9"/>
        <v>0</v>
      </c>
      <c r="H90" s="216">
        <f t="shared" si="9"/>
        <v>133076</v>
      </c>
      <c r="I90" s="56"/>
    </row>
    <row r="91" spans="1:9" ht="15" customHeight="1">
      <c r="A91" s="14"/>
      <c r="B91" s="70" t="s">
        <v>9</v>
      </c>
      <c r="C91" s="165"/>
      <c r="D91" s="67">
        <f t="shared" si="10" ref="D91:D157">H91-E91-G91-F91-C91</f>
        <v>119842</v>
      </c>
      <c r="E91" s="67"/>
      <c r="F91" s="67"/>
      <c r="G91" s="67"/>
      <c r="H91" s="216">
        <f>'4.pielikums'!B79</f>
        <v>119842</v>
      </c>
      <c r="I91" s="56"/>
    </row>
    <row r="92" spans="1:9" ht="15" customHeight="1">
      <c r="A92" s="14"/>
      <c r="B92" s="189" t="s">
        <v>659</v>
      </c>
      <c r="C92" s="165"/>
      <c r="D92" s="67">
        <f t="shared" si="10"/>
        <v>13234</v>
      </c>
      <c r="E92" s="67"/>
      <c r="F92" s="67"/>
      <c r="G92" s="67"/>
      <c r="H92" s="216">
        <f>'4.pielikums'!B80</f>
        <v>13234</v>
      </c>
      <c r="I92" s="56"/>
    </row>
    <row r="93" spans="1:9" ht="31.5">
      <c r="A93" s="48"/>
      <c r="B93" s="72" t="s">
        <v>207</v>
      </c>
      <c r="C93" s="91">
        <f>SUM(C94:C150)</f>
        <v>0</v>
      </c>
      <c r="D93" s="91">
        <f>SUM(D94:D154)</f>
        <v>3170037</v>
      </c>
      <c r="E93" s="91">
        <f>SUM(E94:E153)</f>
        <v>2329961</v>
      </c>
      <c r="F93" s="91">
        <f>SUM(F94:F153)</f>
        <v>232655</v>
      </c>
      <c r="G93" s="91">
        <f>SUM(G94:G153)</f>
        <v>134294</v>
      </c>
      <c r="H93" s="216">
        <f>SUM(H94:H154)</f>
        <v>5866947</v>
      </c>
      <c r="I93" s="56"/>
    </row>
    <row r="94" spans="1:9" s="55" customFormat="1" ht="15" customHeight="1">
      <c r="A94" s="63"/>
      <c r="B94" s="69" t="s">
        <v>128</v>
      </c>
      <c r="C94" s="123"/>
      <c r="D94" s="74">
        <f t="shared" si="10"/>
        <v>91585</v>
      </c>
      <c r="E94" s="74">
        <v>21000</v>
      </c>
      <c r="F94" s="74"/>
      <c r="G94" s="74"/>
      <c r="H94" s="204">
        <f>'4.pielikums'!B81</f>
        <v>112585</v>
      </c>
      <c r="I94" s="56"/>
    </row>
    <row r="95" spans="1:9" s="55" customFormat="1" ht="15" customHeight="1">
      <c r="A95" s="63"/>
      <c r="B95" s="69" t="s">
        <v>132</v>
      </c>
      <c r="C95" s="123"/>
      <c r="D95" s="74">
        <f>H95-E95-G95-F95-C95</f>
        <v>58549</v>
      </c>
      <c r="E95" s="74"/>
      <c r="F95" s="74"/>
      <c r="G95" s="74"/>
      <c r="H95" s="204">
        <f>'4.pielikums'!B82</f>
        <v>58549</v>
      </c>
      <c r="I95" s="56"/>
    </row>
    <row r="96" spans="1:9" s="55" customFormat="1" ht="30.75" customHeight="1">
      <c r="A96" s="63"/>
      <c r="B96" s="69" t="s">
        <v>743</v>
      </c>
      <c r="C96" s="123"/>
      <c r="D96" s="74">
        <f>H96-E96-G96-F96-C96</f>
        <v>100000</v>
      </c>
      <c r="E96" s="74"/>
      <c r="F96" s="74"/>
      <c r="G96" s="74"/>
      <c r="H96" s="204">
        <f>'4.pielikums'!B83</f>
        <v>100000</v>
      </c>
      <c r="I96" s="56"/>
    </row>
    <row r="97" spans="1:9" s="55" customFormat="1" ht="17.25" customHeight="1">
      <c r="A97" s="63"/>
      <c r="B97" s="69" t="s">
        <v>632</v>
      </c>
      <c r="C97" s="123"/>
      <c r="D97" s="74">
        <f>H97-E97-G97-F97-C97</f>
        <v>489063</v>
      </c>
      <c r="E97" s="74"/>
      <c r="F97" s="74"/>
      <c r="G97" s="74"/>
      <c r="H97" s="204">
        <f>'4.pielikums'!B107</f>
        <v>489063</v>
      </c>
      <c r="I97" s="56"/>
    </row>
    <row r="98" spans="1:9" s="55" customFormat="1" ht="29.25" customHeight="1">
      <c r="A98" s="63"/>
      <c r="B98" s="69" t="s">
        <v>121</v>
      </c>
      <c r="C98" s="123"/>
      <c r="D98" s="74">
        <f>H98-E98-G98-F98-C98</f>
        <v>65437</v>
      </c>
      <c r="E98" s="74">
        <v>17000</v>
      </c>
      <c r="F98" s="74"/>
      <c r="G98" s="74"/>
      <c r="H98" s="204">
        <f>'4.pielikums'!B106</f>
        <v>82437</v>
      </c>
      <c r="I98" s="56"/>
    </row>
    <row r="99" spans="1:9" ht="15" customHeight="1">
      <c r="A99" s="48"/>
      <c r="B99" s="189" t="s">
        <v>209</v>
      </c>
      <c r="C99" s="165"/>
      <c r="D99" s="67">
        <f t="shared" si="10"/>
        <v>0</v>
      </c>
      <c r="E99" s="67">
        <f>242485+347328+269692+907713+13566</f>
        <v>1780784</v>
      </c>
      <c r="F99" s="67"/>
      <c r="G99" s="67"/>
      <c r="H99" s="216">
        <f>'4.pielikums'!B105</f>
        <v>1780784</v>
      </c>
      <c r="I99" s="56"/>
    </row>
    <row r="100" spans="1:9" ht="21.75" customHeight="1">
      <c r="A100" s="50"/>
      <c r="B100" s="69" t="s">
        <v>10</v>
      </c>
      <c r="C100" s="164"/>
      <c r="D100" s="67">
        <f>H100-E100-G100-F100-C100</f>
        <v>40972</v>
      </c>
      <c r="E100" s="67">
        <f>420+100</f>
        <v>520</v>
      </c>
      <c r="F100" s="67"/>
      <c r="G100" s="67"/>
      <c r="H100" s="216">
        <f>'4.pielikums'!B84</f>
        <v>41492</v>
      </c>
      <c r="I100" s="56"/>
    </row>
    <row r="101" spans="1:9" ht="21.75" customHeight="1">
      <c r="A101" s="50"/>
      <c r="B101" s="69" t="s">
        <v>664</v>
      </c>
      <c r="C101" s="164"/>
      <c r="D101" s="67">
        <f>H101-E101-G101-F101-C101</f>
        <v>149095</v>
      </c>
      <c r="E101" s="67">
        <f>623+495</f>
        <v>1118</v>
      </c>
      <c r="F101" s="67"/>
      <c r="G101" s="67"/>
      <c r="H101" s="216">
        <f>'4.pielikums'!B85</f>
        <v>150213</v>
      </c>
      <c r="I101" s="56"/>
    </row>
    <row r="102" spans="1:9" ht="30" customHeight="1">
      <c r="A102" s="48"/>
      <c r="B102" s="69" t="s">
        <v>208</v>
      </c>
      <c r="C102" s="164"/>
      <c r="D102" s="67">
        <f t="shared" si="10"/>
        <v>94883</v>
      </c>
      <c r="E102" s="67">
        <v>2280</v>
      </c>
      <c r="F102" s="67"/>
      <c r="G102" s="67"/>
      <c r="H102" s="216">
        <f>'4.pielikums'!B86</f>
        <v>97163</v>
      </c>
      <c r="I102" s="56"/>
    </row>
    <row r="103" spans="1:9" ht="28.15" customHeight="1">
      <c r="A103" s="48"/>
      <c r="B103" s="69" t="s">
        <v>11</v>
      </c>
      <c r="C103" s="164"/>
      <c r="D103" s="67">
        <f>H103-E103-G103-F103-C103</f>
        <v>48970</v>
      </c>
      <c r="E103" s="74">
        <f>1200+1512</f>
        <v>2712</v>
      </c>
      <c r="F103" s="67"/>
      <c r="G103" s="67"/>
      <c r="H103" s="216">
        <f>'4.pielikums'!B87</f>
        <v>51682</v>
      </c>
      <c r="I103" s="56"/>
    </row>
    <row r="104" spans="1:9" ht="30" customHeight="1">
      <c r="A104" s="48"/>
      <c r="B104" s="69" t="s">
        <v>12</v>
      </c>
      <c r="C104" s="164"/>
      <c r="D104" s="67">
        <f t="shared" si="10"/>
        <v>49746</v>
      </c>
      <c r="E104" s="67">
        <v>3037</v>
      </c>
      <c r="F104" s="67"/>
      <c r="G104" s="67"/>
      <c r="H104" s="216">
        <f>'4.pielikums'!B88</f>
        <v>52783</v>
      </c>
      <c r="I104" s="56"/>
    </row>
    <row r="105" spans="1:9" ht="32.45" customHeight="1">
      <c r="A105" s="48"/>
      <c r="B105" s="69" t="s">
        <v>13</v>
      </c>
      <c r="C105" s="164"/>
      <c r="D105" s="67">
        <f t="shared" si="10"/>
        <v>33309</v>
      </c>
      <c r="E105" s="67">
        <f>4788+190</f>
        <v>4978</v>
      </c>
      <c r="F105" s="67"/>
      <c r="G105" s="67"/>
      <c r="H105" s="216">
        <f>'4.pielikums'!B89</f>
        <v>38287</v>
      </c>
      <c r="I105" s="56"/>
    </row>
    <row r="106" spans="1:9" ht="29.45" customHeight="1">
      <c r="A106" s="48"/>
      <c r="B106" s="69" t="s">
        <v>14</v>
      </c>
      <c r="C106" s="164"/>
      <c r="D106" s="67">
        <f t="shared" si="10"/>
        <v>76073</v>
      </c>
      <c r="E106" s="67">
        <f>125+1890</f>
        <v>2015</v>
      </c>
      <c r="F106" s="67"/>
      <c r="G106" s="67"/>
      <c r="H106" s="216">
        <f>'4.pielikums'!B90</f>
        <v>78088</v>
      </c>
      <c r="I106" s="56"/>
    </row>
    <row r="107" spans="1:9" ht="30" customHeight="1">
      <c r="A107" s="48"/>
      <c r="B107" s="76" t="s">
        <v>255</v>
      </c>
      <c r="C107" s="164"/>
      <c r="D107" s="67">
        <f t="shared" si="10"/>
        <v>78185</v>
      </c>
      <c r="E107" s="67">
        <v>42490</v>
      </c>
      <c r="F107" s="67"/>
      <c r="G107" s="67"/>
      <c r="H107" s="216">
        <f>'4.pielikums'!B91</f>
        <v>120675</v>
      </c>
      <c r="I107" s="56"/>
    </row>
    <row r="108" spans="1:9" ht="30" customHeight="1">
      <c r="A108" s="48"/>
      <c r="B108" s="77" t="s">
        <v>92</v>
      </c>
      <c r="C108" s="164"/>
      <c r="D108" s="67">
        <f>H108-E108-G108-F108-C108</f>
        <v>95604</v>
      </c>
      <c r="E108" s="67">
        <v>3461</v>
      </c>
      <c r="F108" s="67"/>
      <c r="G108" s="67"/>
      <c r="H108" s="216">
        <f>'4.pielikums'!B92</f>
        <v>99065</v>
      </c>
      <c r="I108" s="56"/>
    </row>
    <row r="109" spans="1:9" ht="30" customHeight="1">
      <c r="A109" s="48"/>
      <c r="B109" s="69" t="s">
        <v>15</v>
      </c>
      <c r="C109" s="164"/>
      <c r="D109" s="67">
        <f t="shared" si="10"/>
        <v>55952</v>
      </c>
      <c r="E109" s="67">
        <v>551</v>
      </c>
      <c r="F109" s="67"/>
      <c r="G109" s="67"/>
      <c r="H109" s="216">
        <f>'4.pielikums'!B93</f>
        <v>56503</v>
      </c>
      <c r="I109" s="56"/>
    </row>
    <row r="110" spans="1:9" ht="30" customHeight="1">
      <c r="A110" s="48"/>
      <c r="B110" s="76" t="s">
        <v>256</v>
      </c>
      <c r="C110" s="164"/>
      <c r="D110" s="67">
        <f t="shared" si="10"/>
        <v>22274</v>
      </c>
      <c r="E110" s="67">
        <v>0</v>
      </c>
      <c r="F110" s="67"/>
      <c r="G110" s="67"/>
      <c r="H110" s="216">
        <f>'4.pielikums'!B94</f>
        <v>22274</v>
      </c>
      <c r="I110" s="56"/>
    </row>
    <row r="111" spans="1:9" ht="25.5" customHeight="1">
      <c r="A111" s="48"/>
      <c r="B111" s="77" t="s">
        <v>93</v>
      </c>
      <c r="C111" s="164"/>
      <c r="D111" s="67">
        <f t="shared" si="10"/>
        <v>191694</v>
      </c>
      <c r="E111" s="67">
        <v>10141</v>
      </c>
      <c r="F111" s="67"/>
      <c r="G111" s="67"/>
      <c r="H111" s="216">
        <f>'4.pielikums'!B95</f>
        <v>201835</v>
      </c>
      <c r="I111" s="56"/>
    </row>
    <row r="112" spans="1:9" ht="34.15" customHeight="1">
      <c r="A112" s="48"/>
      <c r="B112" s="76" t="s">
        <v>257</v>
      </c>
      <c r="C112" s="164"/>
      <c r="D112" s="67">
        <f t="shared" si="10"/>
        <v>31589</v>
      </c>
      <c r="E112" s="67">
        <f>2107+265</f>
        <v>2372</v>
      </c>
      <c r="F112" s="67"/>
      <c r="G112" s="67"/>
      <c r="H112" s="216">
        <f>'4.pielikums'!B96</f>
        <v>33961</v>
      </c>
      <c r="I112" s="56"/>
    </row>
    <row r="113" spans="1:9" ht="29.45" customHeight="1">
      <c r="A113" s="48"/>
      <c r="B113" s="69" t="s">
        <v>16</v>
      </c>
      <c r="C113" s="164"/>
      <c r="D113" s="67">
        <f t="shared" si="10"/>
        <v>102837</v>
      </c>
      <c r="E113" s="67">
        <v>8605</v>
      </c>
      <c r="F113" s="67"/>
      <c r="G113" s="67"/>
      <c r="H113" s="216">
        <f>'4.pielikums'!B97</f>
        <v>111442</v>
      </c>
      <c r="I113" s="56"/>
    </row>
    <row r="114" spans="1:9" s="55" customFormat="1" ht="30" customHeight="1">
      <c r="A114" s="60"/>
      <c r="B114" s="69" t="s">
        <v>17</v>
      </c>
      <c r="C114" s="123"/>
      <c r="D114" s="74">
        <f t="shared" si="10"/>
        <v>73539</v>
      </c>
      <c r="E114" s="74"/>
      <c r="F114" s="74"/>
      <c r="G114" s="74"/>
      <c r="H114" s="204">
        <f>'4.pielikums'!B98</f>
        <v>73539</v>
      </c>
      <c r="I114" s="56"/>
    </row>
    <row r="115" spans="1:9" ht="33.6" customHeight="1">
      <c r="A115" s="48"/>
      <c r="B115" s="76" t="s">
        <v>137</v>
      </c>
      <c r="C115" s="164"/>
      <c r="D115" s="67">
        <f t="shared" si="10"/>
        <v>94112</v>
      </c>
      <c r="E115" s="67">
        <v>3450</v>
      </c>
      <c r="F115" s="67"/>
      <c r="G115" s="67"/>
      <c r="H115" s="216">
        <f>'4.pielikums'!B99</f>
        <v>97562</v>
      </c>
      <c r="I115" s="56"/>
    </row>
    <row r="116" spans="1:9" ht="31.9" customHeight="1">
      <c r="A116" s="48"/>
      <c r="B116" s="69" t="s">
        <v>18</v>
      </c>
      <c r="C116" s="164"/>
      <c r="D116" s="67">
        <f t="shared" si="10"/>
        <v>101048</v>
      </c>
      <c r="E116" s="67">
        <f>586+67</f>
        <v>653</v>
      </c>
      <c r="F116" s="67"/>
      <c r="G116" s="67"/>
      <c r="H116" s="216">
        <f>'4.pielikums'!B100</f>
        <v>101701</v>
      </c>
      <c r="I116" s="56"/>
    </row>
    <row r="117" spans="1:9" ht="30" customHeight="1">
      <c r="A117" s="48"/>
      <c r="B117" s="76" t="s">
        <v>660</v>
      </c>
      <c r="C117" s="164"/>
      <c r="D117" s="67">
        <f t="shared" si="10"/>
        <v>19513</v>
      </c>
      <c r="E117" s="67"/>
      <c r="F117" s="67"/>
      <c r="G117" s="67"/>
      <c r="H117" s="216">
        <f>'4.pielikums'!B101</f>
        <v>19513</v>
      </c>
      <c r="I117" s="56"/>
    </row>
    <row r="118" spans="1:9" ht="30" customHeight="1">
      <c r="A118" s="48"/>
      <c r="B118" s="76" t="s">
        <v>661</v>
      </c>
      <c r="C118" s="164"/>
      <c r="D118" s="67">
        <f>H118-E118-G118-F118-C118</f>
        <v>32284</v>
      </c>
      <c r="E118" s="67">
        <v>3350</v>
      </c>
      <c r="F118" s="67"/>
      <c r="G118" s="67"/>
      <c r="H118" s="216">
        <f>'4.pielikums'!B102</f>
        <v>35634</v>
      </c>
      <c r="I118" s="56"/>
    </row>
    <row r="119" spans="1:9" ht="20.25" customHeight="1">
      <c r="A119" s="48"/>
      <c r="B119" s="76" t="s">
        <v>667</v>
      </c>
      <c r="C119" s="164"/>
      <c r="D119" s="67">
        <f t="shared" si="10"/>
        <v>243634</v>
      </c>
      <c r="E119" s="67">
        <v>13540</v>
      </c>
      <c r="F119" s="67"/>
      <c r="G119" s="67"/>
      <c r="H119" s="216">
        <f>'4.pielikums'!B103</f>
        <v>257174</v>
      </c>
      <c r="I119" s="56"/>
    </row>
    <row r="120" spans="1:9" ht="30" customHeight="1">
      <c r="A120" s="48"/>
      <c r="B120" s="76" t="s">
        <v>750</v>
      </c>
      <c r="C120" s="164"/>
      <c r="D120" s="67">
        <f t="shared" si="10"/>
        <v>38760</v>
      </c>
      <c r="E120" s="67">
        <v>20924</v>
      </c>
      <c r="F120" s="67"/>
      <c r="G120" s="67"/>
      <c r="H120" s="216">
        <f>'4.pielikums'!B108</f>
        <v>59684</v>
      </c>
      <c r="I120" s="56"/>
    </row>
    <row r="121" spans="1:9" ht="30" customHeight="1">
      <c r="A121" s="48"/>
      <c r="B121" s="76" t="s">
        <v>751</v>
      </c>
      <c r="C121" s="164"/>
      <c r="D121" s="67">
        <f t="shared" si="10"/>
        <v>89545</v>
      </c>
      <c r="E121" s="67">
        <v>47308</v>
      </c>
      <c r="F121" s="67"/>
      <c r="G121" s="67"/>
      <c r="H121" s="216">
        <f>'4.pielikums'!B109</f>
        <v>136853</v>
      </c>
      <c r="I121" s="56"/>
    </row>
    <row r="122" spans="1:9" ht="30" customHeight="1">
      <c r="A122" s="48"/>
      <c r="B122" s="76" t="s">
        <v>752</v>
      </c>
      <c r="C122" s="164"/>
      <c r="D122" s="67">
        <f t="shared" si="10"/>
        <v>34045</v>
      </c>
      <c r="E122" s="67">
        <v>13500</v>
      </c>
      <c r="F122" s="67"/>
      <c r="G122" s="67"/>
      <c r="H122" s="216">
        <f>'4.pielikums'!B110</f>
        <v>47545</v>
      </c>
      <c r="I122" s="56"/>
    </row>
    <row r="123" spans="1:9" ht="15" customHeight="1">
      <c r="A123" s="48"/>
      <c r="B123" s="76" t="s">
        <v>753</v>
      </c>
      <c r="C123" s="164"/>
      <c r="D123" s="67">
        <f t="shared" si="10"/>
        <v>34197</v>
      </c>
      <c r="E123" s="67">
        <v>29102</v>
      </c>
      <c r="F123" s="67"/>
      <c r="G123" s="67"/>
      <c r="H123" s="216">
        <f>'4.pielikums'!B111</f>
        <v>63299</v>
      </c>
      <c r="I123" s="56"/>
    </row>
    <row r="124" spans="1:9" ht="30" customHeight="1">
      <c r="A124" s="48"/>
      <c r="B124" s="76" t="s">
        <v>754</v>
      </c>
      <c r="C124" s="164"/>
      <c r="D124" s="67">
        <f t="shared" si="10"/>
        <v>15761</v>
      </c>
      <c r="E124" s="67">
        <v>16000</v>
      </c>
      <c r="F124" s="67"/>
      <c r="G124" s="67"/>
      <c r="H124" s="216">
        <f>'4.pielikums'!B112</f>
        <v>31761</v>
      </c>
      <c r="I124" s="56"/>
    </row>
    <row r="125" spans="1:9" ht="30" customHeight="1">
      <c r="A125" s="48"/>
      <c r="B125" s="76" t="s">
        <v>76</v>
      </c>
      <c r="C125" s="164"/>
      <c r="D125" s="67">
        <f t="shared" si="10"/>
        <v>52891</v>
      </c>
      <c r="E125" s="67">
        <f>79000+12040</f>
        <v>91040</v>
      </c>
      <c r="F125" s="67"/>
      <c r="G125" s="67"/>
      <c r="H125" s="216">
        <f>'4.pielikums'!B113</f>
        <v>143931</v>
      </c>
      <c r="I125" s="56"/>
    </row>
    <row r="126" spans="1:9" ht="33" customHeight="1">
      <c r="A126" s="48"/>
      <c r="B126" s="76" t="s">
        <v>709</v>
      </c>
      <c r="C126" s="164"/>
      <c r="D126" s="67">
        <f t="shared" si="10"/>
        <v>38867</v>
      </c>
      <c r="E126" s="67">
        <v>66000</v>
      </c>
      <c r="F126" s="67"/>
      <c r="G126" s="67"/>
      <c r="H126" s="216">
        <f>'4.pielikums'!B114</f>
        <v>104867</v>
      </c>
      <c r="I126" s="56"/>
    </row>
    <row r="127" spans="1:9" ht="15" customHeight="1">
      <c r="A127" s="48"/>
      <c r="B127" s="161" t="s">
        <v>143</v>
      </c>
      <c r="C127" s="164"/>
      <c r="D127" s="67">
        <f t="shared" si="10"/>
        <v>0</v>
      </c>
      <c r="E127" s="67">
        <v>3100</v>
      </c>
      <c r="F127" s="67"/>
      <c r="G127" s="67"/>
      <c r="H127" s="216">
        <f>'4.pielikums'!B115</f>
        <v>3100</v>
      </c>
      <c r="I127" s="56"/>
    </row>
    <row r="128" spans="1:9" ht="15" customHeight="1">
      <c r="A128" s="48"/>
      <c r="B128" s="161" t="s">
        <v>142</v>
      </c>
      <c r="C128" s="164"/>
      <c r="D128" s="67">
        <f t="shared" si="10"/>
        <v>2775</v>
      </c>
      <c r="E128" s="67">
        <v>9356</v>
      </c>
      <c r="F128" s="67"/>
      <c r="G128" s="67"/>
      <c r="H128" s="216">
        <f>'4.pielikums'!B116</f>
        <v>12131</v>
      </c>
      <c r="I128" s="56"/>
    </row>
    <row r="129" spans="1:9" s="55" customFormat="1" ht="30" customHeight="1">
      <c r="A129" s="60"/>
      <c r="B129" s="76" t="s">
        <v>669</v>
      </c>
      <c r="C129" s="123"/>
      <c r="D129" s="74">
        <f>H129-E129-G129-F129-C129</f>
        <v>3891</v>
      </c>
      <c r="E129" s="74">
        <v>2500</v>
      </c>
      <c r="F129" s="74"/>
      <c r="G129" s="74"/>
      <c r="H129" s="204">
        <f>'4.pielikums'!B117</f>
        <v>6391</v>
      </c>
      <c r="I129" s="56"/>
    </row>
    <row r="130" spans="1:9" ht="15" customHeight="1">
      <c r="A130" s="48"/>
      <c r="B130" s="76" t="s">
        <v>670</v>
      </c>
      <c r="C130" s="164"/>
      <c r="D130" s="67">
        <f>H130-E130-G130-F130-C130</f>
        <v>8313</v>
      </c>
      <c r="E130" s="67">
        <v>4327</v>
      </c>
      <c r="F130" s="67"/>
      <c r="G130" s="67"/>
      <c r="H130" s="216">
        <f>'4.pielikums'!B118</f>
        <v>12640</v>
      </c>
      <c r="I130" s="56"/>
    </row>
    <row r="131" spans="1:9" s="55" customFormat="1" ht="30" customHeight="1">
      <c r="A131" s="60"/>
      <c r="B131" s="76" t="s">
        <v>671</v>
      </c>
      <c r="C131" s="123"/>
      <c r="D131" s="74">
        <f>H131-E131-G131-F131-C131</f>
        <v>5205</v>
      </c>
      <c r="E131" s="74">
        <v>2005</v>
      </c>
      <c r="F131" s="74"/>
      <c r="G131" s="74"/>
      <c r="H131" s="204">
        <f>'4.pielikums'!B119</f>
        <v>7210</v>
      </c>
      <c r="I131" s="56"/>
    </row>
    <row r="132" spans="1:9" ht="15" customHeight="1">
      <c r="A132" s="48"/>
      <c r="B132" s="171" t="s">
        <v>672</v>
      </c>
      <c r="C132" s="164"/>
      <c r="D132" s="67">
        <f t="shared" si="10"/>
        <v>0</v>
      </c>
      <c r="E132" s="67">
        <v>4950</v>
      </c>
      <c r="F132" s="67"/>
      <c r="G132" s="67"/>
      <c r="H132" s="216">
        <f>'4.pielikums'!B120</f>
        <v>4950</v>
      </c>
      <c r="I132" s="56"/>
    </row>
    <row r="133" spans="1:9" ht="15" customHeight="1">
      <c r="A133" s="48"/>
      <c r="B133" s="76" t="s">
        <v>673</v>
      </c>
      <c r="C133" s="164"/>
      <c r="D133" s="67">
        <f t="shared" si="10"/>
        <v>10000</v>
      </c>
      <c r="E133" s="67">
        <v>6500</v>
      </c>
      <c r="F133" s="67"/>
      <c r="G133" s="67"/>
      <c r="H133" s="216">
        <f>'4.pielikums'!B121</f>
        <v>16500</v>
      </c>
      <c r="I133" s="56"/>
    </row>
    <row r="134" spans="1:9" ht="30" customHeight="1">
      <c r="A134" s="48"/>
      <c r="B134" s="76" t="s">
        <v>674</v>
      </c>
      <c r="C134" s="164"/>
      <c r="D134" s="67">
        <f t="shared" si="10"/>
        <v>0</v>
      </c>
      <c r="E134" s="67">
        <v>7000</v>
      </c>
      <c r="F134" s="67"/>
      <c r="G134" s="67"/>
      <c r="H134" s="216">
        <f>'4.pielikums'!B122</f>
        <v>7000</v>
      </c>
      <c r="I134" s="56"/>
    </row>
    <row r="135" spans="1:9" ht="15" customHeight="1">
      <c r="A135" s="48"/>
      <c r="B135" s="160" t="s">
        <v>94</v>
      </c>
      <c r="C135" s="164"/>
      <c r="D135" s="67">
        <f>H135-E135-G135-F135-C135</f>
        <v>0</v>
      </c>
      <c r="E135" s="67">
        <v>10350</v>
      </c>
      <c r="F135" s="67"/>
      <c r="G135" s="67"/>
      <c r="H135" s="216">
        <f>'4.pielikums'!B123</f>
        <v>10350</v>
      </c>
      <c r="I135" s="56"/>
    </row>
    <row r="136" spans="1:9" s="55" customFormat="1" ht="30" customHeight="1">
      <c r="A136" s="60"/>
      <c r="B136" s="76" t="s">
        <v>675</v>
      </c>
      <c r="C136" s="123"/>
      <c r="D136" s="74">
        <f t="shared" si="10"/>
        <v>768</v>
      </c>
      <c r="E136" s="74">
        <v>2692</v>
      </c>
      <c r="F136" s="74"/>
      <c r="G136" s="74"/>
      <c r="H136" s="204">
        <f>'4.pielikums'!B124</f>
        <v>3460</v>
      </c>
      <c r="I136" s="56"/>
    </row>
    <row r="137" spans="1:9" ht="30" customHeight="1">
      <c r="A137" s="48"/>
      <c r="B137" s="76" t="s">
        <v>676</v>
      </c>
      <c r="C137" s="164"/>
      <c r="D137" s="67">
        <f t="shared" si="10"/>
        <v>3136</v>
      </c>
      <c r="E137" s="67">
        <v>5500</v>
      </c>
      <c r="F137" s="67"/>
      <c r="G137" s="67"/>
      <c r="H137" s="216">
        <f>'4.pielikums'!B125</f>
        <v>8636</v>
      </c>
      <c r="I137" s="56"/>
    </row>
    <row r="138" spans="1:9" ht="15" customHeight="1">
      <c r="A138" s="48"/>
      <c r="B138" s="76" t="s">
        <v>686</v>
      </c>
      <c r="C138" s="164"/>
      <c r="D138" s="67">
        <f t="shared" si="10"/>
        <v>0</v>
      </c>
      <c r="E138" s="67">
        <v>3800</v>
      </c>
      <c r="F138" s="67"/>
      <c r="G138" s="67"/>
      <c r="H138" s="216">
        <f>'4.pielikums'!B126</f>
        <v>3800</v>
      </c>
      <c r="I138" s="56"/>
    </row>
    <row r="139" spans="1:9" ht="15" customHeight="1">
      <c r="A139" s="48"/>
      <c r="B139" s="160" t="s">
        <v>95</v>
      </c>
      <c r="C139" s="164"/>
      <c r="D139" s="67">
        <f t="shared" si="10"/>
        <v>0</v>
      </c>
      <c r="E139" s="67">
        <v>9900</v>
      </c>
      <c r="F139" s="67"/>
      <c r="G139" s="67"/>
      <c r="H139" s="216">
        <f>'4.pielikums'!B127</f>
        <v>9900</v>
      </c>
      <c r="I139" s="56"/>
    </row>
    <row r="140" spans="1:9" ht="15" customHeight="1">
      <c r="A140" s="48"/>
      <c r="B140" s="76" t="s">
        <v>678</v>
      </c>
      <c r="C140" s="164"/>
      <c r="D140" s="67">
        <f t="shared" si="10"/>
        <v>0</v>
      </c>
      <c r="E140" s="67">
        <v>3600</v>
      </c>
      <c r="F140" s="67"/>
      <c r="G140" s="67"/>
      <c r="H140" s="216">
        <f>'4.pielikums'!B128</f>
        <v>3600</v>
      </c>
      <c r="I140" s="56"/>
    </row>
    <row r="141" spans="1:9" ht="15" customHeight="1">
      <c r="A141" s="48"/>
      <c r="B141" s="76" t="s">
        <v>679</v>
      </c>
      <c r="C141" s="164"/>
      <c r="D141" s="67">
        <f t="shared" si="10"/>
        <v>1160</v>
      </c>
      <c r="E141" s="67">
        <v>8500</v>
      </c>
      <c r="F141" s="67"/>
      <c r="G141" s="67"/>
      <c r="H141" s="216">
        <f>'4.pielikums'!B129</f>
        <v>9660</v>
      </c>
      <c r="I141" s="56"/>
    </row>
    <row r="142" spans="1:9" s="55" customFormat="1" ht="15" customHeight="1">
      <c r="A142" s="60"/>
      <c r="B142" s="76" t="s">
        <v>681</v>
      </c>
      <c r="C142" s="123"/>
      <c r="D142" s="74">
        <f t="shared" si="10"/>
        <v>1150</v>
      </c>
      <c r="E142" s="74">
        <v>3800</v>
      </c>
      <c r="F142" s="74"/>
      <c r="G142" s="74"/>
      <c r="H142" s="204">
        <f>'4.pielikums'!B131</f>
        <v>4950</v>
      </c>
      <c r="I142" s="56"/>
    </row>
    <row r="143" spans="1:9" ht="15" customHeight="1">
      <c r="A143" s="48"/>
      <c r="B143" s="76" t="s">
        <v>688</v>
      </c>
      <c r="C143" s="164"/>
      <c r="D143" s="67">
        <f t="shared" si="10"/>
        <v>1105</v>
      </c>
      <c r="E143" s="74">
        <v>2500</v>
      </c>
      <c r="F143" s="67"/>
      <c r="G143" s="67"/>
      <c r="H143" s="216">
        <f>'4.pielikums'!B130</f>
        <v>3605</v>
      </c>
      <c r="I143" s="56"/>
    </row>
    <row r="144" spans="1:9" ht="15" customHeight="1">
      <c r="A144" s="48"/>
      <c r="B144" s="76" t="s">
        <v>682</v>
      </c>
      <c r="C144" s="164"/>
      <c r="D144" s="67">
        <f t="shared" si="10"/>
        <v>292</v>
      </c>
      <c r="E144" s="67">
        <v>3350</v>
      </c>
      <c r="F144" s="67"/>
      <c r="G144" s="67"/>
      <c r="H144" s="216">
        <f>'4.pielikums'!B132</f>
        <v>3642</v>
      </c>
      <c r="I144" s="56"/>
    </row>
    <row r="145" spans="1:9" ht="30" customHeight="1">
      <c r="A145" s="48"/>
      <c r="B145" s="76" t="s">
        <v>687</v>
      </c>
      <c r="C145" s="164"/>
      <c r="D145" s="67">
        <f t="shared" si="10"/>
        <v>15695</v>
      </c>
      <c r="E145" s="67">
        <v>15100</v>
      </c>
      <c r="F145" s="67"/>
      <c r="G145" s="67"/>
      <c r="H145" s="216">
        <f>'4.pielikums'!B133</f>
        <v>30795</v>
      </c>
      <c r="I145" s="56"/>
    </row>
    <row r="146" spans="1:9" ht="30" customHeight="1">
      <c r="A146" s="48"/>
      <c r="B146" s="76" t="s">
        <v>745</v>
      </c>
      <c r="C146" s="164"/>
      <c r="D146" s="67">
        <f t="shared" si="10"/>
        <v>0</v>
      </c>
      <c r="E146" s="67">
        <v>3200</v>
      </c>
      <c r="F146" s="67"/>
      <c r="G146" s="67"/>
      <c r="H146" s="216">
        <f>'4.pielikums'!B134</f>
        <v>3200</v>
      </c>
      <c r="I146" s="56"/>
    </row>
    <row r="147" spans="1:9" ht="15" customHeight="1">
      <c r="A147" s="48"/>
      <c r="B147" s="76" t="s">
        <v>746</v>
      </c>
      <c r="C147" s="164"/>
      <c r="D147" s="67">
        <f t="shared" si="10"/>
        <v>3405</v>
      </c>
      <c r="E147" s="67">
        <v>10000</v>
      </c>
      <c r="F147" s="67"/>
      <c r="G147" s="67"/>
      <c r="H147" s="216">
        <f>'4.pielikums'!B135</f>
        <v>13405</v>
      </c>
      <c r="I147" s="56"/>
    </row>
    <row r="148" spans="1:9" ht="30" customHeight="1">
      <c r="A148" s="48"/>
      <c r="B148" s="77" t="s">
        <v>541</v>
      </c>
      <c r="C148" s="164"/>
      <c r="D148" s="67">
        <f t="shared" si="10"/>
        <v>0</v>
      </c>
      <c r="E148" s="67"/>
      <c r="F148" s="67">
        <v>9700</v>
      </c>
      <c r="G148" s="67"/>
      <c r="H148" s="216">
        <f>'4.pielikums'!B251</f>
        <v>9700</v>
      </c>
      <c r="I148" s="56"/>
    </row>
    <row r="149" spans="1:9" ht="30" customHeight="1">
      <c r="A149" s="48"/>
      <c r="B149" s="190" t="s">
        <v>571</v>
      </c>
      <c r="C149" s="164"/>
      <c r="D149" s="67">
        <f t="shared" si="10"/>
        <v>120000</v>
      </c>
      <c r="E149" s="67"/>
      <c r="F149" s="67"/>
      <c r="G149" s="67"/>
      <c r="H149" s="216">
        <f>'4.pielikums'!B254</f>
        <v>120000</v>
      </c>
      <c r="I149" s="56"/>
    </row>
    <row r="150" spans="1:9" s="55" customFormat="1" ht="15" customHeight="1">
      <c r="A150" s="60"/>
      <c r="B150" s="190" t="s">
        <v>123</v>
      </c>
      <c r="C150" s="123"/>
      <c r="D150" s="74">
        <f t="shared" si="10"/>
        <v>150000</v>
      </c>
      <c r="E150" s="74"/>
      <c r="F150" s="74"/>
      <c r="G150" s="74"/>
      <c r="H150" s="204">
        <f>'4.pielikums'!B252</f>
        <v>150000</v>
      </c>
      <c r="I150" s="56"/>
    </row>
    <row r="151" spans="1:9" s="55" customFormat="1" ht="20.25" customHeight="1">
      <c r="A151" s="60"/>
      <c r="B151" s="190" t="s">
        <v>710</v>
      </c>
      <c r="C151" s="123"/>
      <c r="D151" s="74">
        <f t="shared" si="10"/>
        <v>12996</v>
      </c>
      <c r="E151" s="74"/>
      <c r="F151" s="74"/>
      <c r="G151" s="74"/>
      <c r="H151" s="204">
        <f>'4.pielikums'!B253</f>
        <v>12996</v>
      </c>
      <c r="I151" s="56"/>
    </row>
    <row r="152" spans="1:9" s="55" customFormat="1" ht="48.75" customHeight="1">
      <c r="A152" s="60"/>
      <c r="B152" s="190" t="s">
        <v>713</v>
      </c>
      <c r="C152" s="123"/>
      <c r="D152" s="74">
        <f t="shared" si="10"/>
        <v>0</v>
      </c>
      <c r="E152" s="74"/>
      <c r="F152" s="74">
        <v>200813</v>
      </c>
      <c r="G152" s="74">
        <v>112152</v>
      </c>
      <c r="H152" s="204">
        <f>'4.pielikums'!B264</f>
        <v>312965</v>
      </c>
      <c r="I152" s="56"/>
    </row>
    <row r="153" spans="1:9" s="55" customFormat="1" ht="54" customHeight="1">
      <c r="A153" s="60"/>
      <c r="B153" s="190" t="s">
        <v>711</v>
      </c>
      <c r="C153" s="123"/>
      <c r="D153" s="74">
        <f t="shared" si="10"/>
        <v>0</v>
      </c>
      <c r="E153" s="74"/>
      <c r="F153" s="74">
        <v>22142</v>
      </c>
      <c r="G153" s="74">
        <v>22142</v>
      </c>
      <c r="H153" s="204">
        <f>'4.pielikums'!B263</f>
        <v>44284</v>
      </c>
      <c r="I153" s="56"/>
    </row>
    <row r="154" spans="1:9" s="55" customFormat="1" ht="44.25" customHeight="1">
      <c r="A154" s="60"/>
      <c r="B154" s="190" t="s">
        <v>739</v>
      </c>
      <c r="C154" s="123"/>
      <c r="D154" s="74">
        <f t="shared" si="10"/>
        <v>86133</v>
      </c>
      <c r="E154" s="74"/>
      <c r="F154" s="74"/>
      <c r="G154" s="74"/>
      <c r="H154" s="204">
        <f>'4.pielikums'!B104</f>
        <v>86133</v>
      </c>
      <c r="I154" s="56"/>
    </row>
    <row r="155" spans="1:9" ht="15" customHeight="1">
      <c r="A155" s="14" t="s">
        <v>210</v>
      </c>
      <c r="B155" s="207" t="s">
        <v>211</v>
      </c>
      <c r="C155" s="91">
        <f t="shared" si="11" ref="C155:H155">SUM(C156:C165)</f>
        <v>0</v>
      </c>
      <c r="D155" s="91">
        <f t="shared" si="11"/>
        <v>1404</v>
      </c>
      <c r="E155" s="91">
        <f t="shared" si="11"/>
        <v>550</v>
      </c>
      <c r="F155" s="91">
        <f t="shared" si="11"/>
        <v>157804</v>
      </c>
      <c r="G155" s="91">
        <f t="shared" si="11"/>
        <v>0</v>
      </c>
      <c r="H155" s="216">
        <f t="shared" si="11"/>
        <v>159758</v>
      </c>
      <c r="I155" s="56"/>
    </row>
    <row r="156" spans="1:9" ht="15" customHeight="1">
      <c r="A156" s="48"/>
      <c r="B156" s="69" t="s">
        <v>212</v>
      </c>
      <c r="C156" s="164"/>
      <c r="D156" s="67">
        <f>H156-E156-G156-F156-C156</f>
        <v>0</v>
      </c>
      <c r="E156" s="67">
        <v>150</v>
      </c>
      <c r="F156" s="67">
        <v>15093</v>
      </c>
      <c r="G156" s="67"/>
      <c r="H156" s="216">
        <f>'4.pielikums'!B136</f>
        <v>15243</v>
      </c>
      <c r="I156" s="56"/>
    </row>
    <row r="157" spans="1:9" ht="15" customHeight="1">
      <c r="A157" s="48"/>
      <c r="B157" s="69" t="s">
        <v>213</v>
      </c>
      <c r="C157" s="164"/>
      <c r="D157" s="67">
        <f t="shared" si="10"/>
        <v>0</v>
      </c>
      <c r="E157" s="67">
        <v>50</v>
      </c>
      <c r="F157" s="67">
        <v>15093</v>
      </c>
      <c r="G157" s="67"/>
      <c r="H157" s="216">
        <f>'4.pielikums'!B137</f>
        <v>15143</v>
      </c>
      <c r="I157" s="56"/>
    </row>
    <row r="158" spans="1:9" ht="15" customHeight="1">
      <c r="A158" s="48"/>
      <c r="B158" s="69" t="s">
        <v>214</v>
      </c>
      <c r="C158" s="164"/>
      <c r="D158" s="67">
        <f t="shared" si="12" ref="D158:D165">H158-E158-G158-F158-C158</f>
        <v>0</v>
      </c>
      <c r="E158" s="67">
        <v>50</v>
      </c>
      <c r="F158" s="67">
        <v>15093</v>
      </c>
      <c r="G158" s="67"/>
      <c r="H158" s="216">
        <f>'4.pielikums'!B138</f>
        <v>15143</v>
      </c>
      <c r="I158" s="56"/>
    </row>
    <row r="159" spans="1:9" ht="15" customHeight="1">
      <c r="A159" s="48"/>
      <c r="B159" s="69" t="s">
        <v>748</v>
      </c>
      <c r="C159" s="164"/>
      <c r="D159" s="67">
        <f t="shared" si="12"/>
        <v>0</v>
      </c>
      <c r="E159" s="67">
        <v>50</v>
      </c>
      <c r="F159" s="67">
        <v>15093</v>
      </c>
      <c r="G159" s="67"/>
      <c r="H159" s="216">
        <f>'4.pielikums'!B139</f>
        <v>15143</v>
      </c>
      <c r="I159" s="56"/>
    </row>
    <row r="160" spans="1:9" ht="15" customHeight="1">
      <c r="A160" s="48"/>
      <c r="B160" s="69" t="s">
        <v>215</v>
      </c>
      <c r="C160" s="164"/>
      <c r="D160" s="67">
        <f t="shared" si="12"/>
        <v>0</v>
      </c>
      <c r="E160" s="67">
        <v>50</v>
      </c>
      <c r="F160" s="67">
        <v>15093</v>
      </c>
      <c r="G160" s="67"/>
      <c r="H160" s="216">
        <f>'4.pielikums'!B140</f>
        <v>15143</v>
      </c>
      <c r="I160" s="56"/>
    </row>
    <row r="161" spans="1:9" ht="15" customHeight="1">
      <c r="A161" s="48"/>
      <c r="B161" s="69" t="s">
        <v>216</v>
      </c>
      <c r="C161" s="164"/>
      <c r="D161" s="67">
        <f t="shared" si="12"/>
        <v>0</v>
      </c>
      <c r="E161" s="67">
        <v>50</v>
      </c>
      <c r="F161" s="67">
        <v>15093</v>
      </c>
      <c r="G161" s="67"/>
      <c r="H161" s="216">
        <f>'4.pielikums'!B141</f>
        <v>15143</v>
      </c>
      <c r="I161" s="56"/>
    </row>
    <row r="162" spans="1:9" ht="15" customHeight="1">
      <c r="A162" s="48"/>
      <c r="B162" s="76" t="s">
        <v>747</v>
      </c>
      <c r="C162" s="164"/>
      <c r="D162" s="67">
        <f t="shared" si="12"/>
        <v>625</v>
      </c>
      <c r="E162" s="67">
        <v>50</v>
      </c>
      <c r="F162" s="67">
        <v>15093</v>
      </c>
      <c r="G162" s="67"/>
      <c r="H162" s="216">
        <f>'4.pielikums'!B142</f>
        <v>15768</v>
      </c>
      <c r="I162" s="56"/>
    </row>
    <row r="163" spans="1:9" ht="15" customHeight="1">
      <c r="A163" s="48"/>
      <c r="B163" s="69" t="s">
        <v>217</v>
      </c>
      <c r="C163" s="164"/>
      <c r="D163" s="67">
        <f t="shared" si="12"/>
        <v>779</v>
      </c>
      <c r="E163" s="67">
        <v>50</v>
      </c>
      <c r="F163" s="67">
        <v>15093</v>
      </c>
      <c r="G163" s="67"/>
      <c r="H163" s="216">
        <f>'4.pielikums'!B143</f>
        <v>15922</v>
      </c>
      <c r="I163" s="56"/>
    </row>
    <row r="164" spans="1:9" ht="15" customHeight="1">
      <c r="A164" s="48"/>
      <c r="B164" s="69" t="s">
        <v>218</v>
      </c>
      <c r="C164" s="164"/>
      <c r="D164" s="67">
        <f t="shared" si="12"/>
        <v>0</v>
      </c>
      <c r="E164" s="67">
        <v>50</v>
      </c>
      <c r="F164" s="67">
        <v>15093</v>
      </c>
      <c r="G164" s="67"/>
      <c r="H164" s="216">
        <f>'4.pielikums'!B144</f>
        <v>15143</v>
      </c>
      <c r="I164" s="56"/>
    </row>
    <row r="165" spans="1:9" ht="15" customHeight="1">
      <c r="A165" s="48"/>
      <c r="B165" s="113" t="s">
        <v>219</v>
      </c>
      <c r="C165" s="164"/>
      <c r="D165" s="67">
        <f t="shared" si="12"/>
        <v>0</v>
      </c>
      <c r="E165" s="67"/>
      <c r="F165" s="67">
        <v>21967</v>
      </c>
      <c r="G165" s="67"/>
      <c r="H165" s="216">
        <f>'4.pielikums'!B145</f>
        <v>21967</v>
      </c>
      <c r="I165" s="56"/>
    </row>
    <row r="166" spans="1:9" ht="15" customHeight="1">
      <c r="A166" s="14" t="s">
        <v>220</v>
      </c>
      <c r="B166" s="71" t="s">
        <v>509</v>
      </c>
      <c r="C166" s="91"/>
      <c r="D166" s="91">
        <f>D167+D174+D177+D181+D202</f>
        <v>2331930</v>
      </c>
      <c r="E166" s="91">
        <f>E167+E174+E177+E181+E202</f>
        <v>142663</v>
      </c>
      <c r="F166" s="91">
        <f>F167+F174+F177+F181+F202</f>
        <v>139731</v>
      </c>
      <c r="G166" s="91">
        <f>G167+G174+G177+G181+G202</f>
        <v>0</v>
      </c>
      <c r="H166" s="216">
        <f>H167+H174+H177+H181+H202</f>
        <v>2614324</v>
      </c>
      <c r="I166" s="56"/>
    </row>
    <row r="167" spans="1:9" ht="15" customHeight="1">
      <c r="A167" s="14"/>
      <c r="B167" s="71" t="s">
        <v>221</v>
      </c>
      <c r="C167" s="91">
        <f>SUM(C168:C171)</f>
        <v>0</v>
      </c>
      <c r="D167" s="91">
        <f>SUM(D168:D172)</f>
        <v>154259</v>
      </c>
      <c r="E167" s="91">
        <f>SUM(E168:E171)</f>
        <v>2835</v>
      </c>
      <c r="F167" s="91">
        <f>SUM(F168:F172)</f>
        <v>60000</v>
      </c>
      <c r="G167" s="91">
        <f>SUM(G168:G171)</f>
        <v>0</v>
      </c>
      <c r="H167" s="216">
        <f>SUM(H168:H172)</f>
        <v>217094</v>
      </c>
      <c r="I167" s="56"/>
    </row>
    <row r="168" spans="1:9" ht="15" customHeight="1">
      <c r="A168" s="48"/>
      <c r="B168" s="70" t="s">
        <v>115</v>
      </c>
      <c r="C168" s="165"/>
      <c r="D168" s="67">
        <f t="shared" si="13" ref="D168:D205">H168-E168-G168-F168-C168</f>
        <v>85226</v>
      </c>
      <c r="E168" s="67"/>
      <c r="F168" s="67"/>
      <c r="G168" s="67"/>
      <c r="H168" s="216">
        <f>'4.pielikums'!B146</f>
        <v>85226</v>
      </c>
      <c r="I168" s="56"/>
    </row>
    <row r="169" spans="1:9" ht="15" customHeight="1">
      <c r="A169" s="48"/>
      <c r="B169" s="69" t="s">
        <v>145</v>
      </c>
      <c r="C169" s="164"/>
      <c r="D169" s="67">
        <f t="shared" si="13"/>
        <v>30829</v>
      </c>
      <c r="E169" s="67">
        <v>1835</v>
      </c>
      <c r="F169" s="67"/>
      <c r="G169" s="67"/>
      <c r="H169" s="216">
        <f>'4.pielikums'!B147</f>
        <v>32664</v>
      </c>
      <c r="I169" s="56"/>
    </row>
    <row r="170" spans="1:9" ht="15" customHeight="1">
      <c r="A170" s="48"/>
      <c r="B170" s="69" t="s">
        <v>166</v>
      </c>
      <c r="C170" s="164"/>
      <c r="D170" s="67">
        <f t="shared" si="13"/>
        <v>25195</v>
      </c>
      <c r="E170" s="67">
        <v>1000</v>
      </c>
      <c r="F170" s="67"/>
      <c r="G170" s="67"/>
      <c r="H170" s="216">
        <f>'4.pielikums'!B149</f>
        <v>26195</v>
      </c>
      <c r="I170" s="56"/>
    </row>
    <row r="171" spans="1:9" ht="15" customHeight="1">
      <c r="A171" s="48"/>
      <c r="B171" s="69" t="s">
        <v>730</v>
      </c>
      <c r="C171" s="164"/>
      <c r="D171" s="67">
        <f t="shared" si="13"/>
        <v>13009</v>
      </c>
      <c r="E171" s="67"/>
      <c r="F171" s="67"/>
      <c r="G171" s="67"/>
      <c r="H171" s="216">
        <f>'4.pielikums'!B148</f>
        <v>13009</v>
      </c>
      <c r="I171" s="56"/>
    </row>
    <row r="172" spans="1:9" ht="15" customHeight="1">
      <c r="A172" s="48"/>
      <c r="B172" s="69" t="s">
        <v>721</v>
      </c>
      <c r="C172" s="164"/>
      <c r="D172" s="67">
        <f t="shared" si="13"/>
        <v>0</v>
      </c>
      <c r="E172" s="67"/>
      <c r="F172" s="67">
        <v>60000</v>
      </c>
      <c r="G172" s="67"/>
      <c r="H172" s="216">
        <f>'4.pielikums'!B150</f>
        <v>60000</v>
      </c>
      <c r="I172" s="56"/>
    </row>
    <row r="173" spans="1:9" ht="15" customHeight="1">
      <c r="A173" s="14"/>
      <c r="B173" s="71" t="s">
        <v>222</v>
      </c>
      <c r="C173" s="155"/>
      <c r="D173" s="67"/>
      <c r="E173" s="91"/>
      <c r="F173" s="91"/>
      <c r="G173" s="91"/>
      <c r="H173" s="216"/>
      <c r="I173" s="56"/>
    </row>
    <row r="174" spans="1:9" ht="15" customHeight="1">
      <c r="A174" s="14"/>
      <c r="B174" s="71" t="s">
        <v>223</v>
      </c>
      <c r="C174" s="91">
        <f>SUM(C175:C175)</f>
        <v>0</v>
      </c>
      <c r="D174" s="91">
        <f>SUM(D175:D176)</f>
        <v>583003</v>
      </c>
      <c r="E174" s="91">
        <f>SUM(E175:E176)</f>
        <v>17800</v>
      </c>
      <c r="F174" s="91">
        <f>SUM(F175:F176)</f>
        <v>18531</v>
      </c>
      <c r="G174" s="91">
        <f>SUM(G175:G175)</f>
        <v>0</v>
      </c>
      <c r="H174" s="216">
        <f>SUM(H175:H176)</f>
        <v>619334</v>
      </c>
      <c r="I174" s="56"/>
    </row>
    <row r="175" spans="1:9" ht="15" customHeight="1">
      <c r="A175" s="48"/>
      <c r="B175" s="70" t="s">
        <v>21</v>
      </c>
      <c r="C175" s="165"/>
      <c r="D175" s="67">
        <f>H175-E175-G175-F175-C175</f>
        <v>547153</v>
      </c>
      <c r="E175" s="67">
        <v>1800</v>
      </c>
      <c r="F175" s="74">
        <v>18531</v>
      </c>
      <c r="G175" s="67"/>
      <c r="H175" s="216">
        <f>'4.pielikums'!B151</f>
        <v>567484</v>
      </c>
      <c r="I175" s="56"/>
    </row>
    <row r="176" spans="1:9" ht="15" customHeight="1">
      <c r="A176" s="48"/>
      <c r="B176" s="70" t="s">
        <v>633</v>
      </c>
      <c r="C176" s="165"/>
      <c r="D176" s="67">
        <f>H176-E176-G176-F176-C176</f>
        <v>35850</v>
      </c>
      <c r="E176" s="67">
        <v>16000</v>
      </c>
      <c r="F176" s="74"/>
      <c r="G176" s="67"/>
      <c r="H176" s="216">
        <f>'4.pielikums'!B152</f>
        <v>51850</v>
      </c>
      <c r="I176" s="56"/>
    </row>
    <row r="177" spans="1:9" ht="15" customHeight="1">
      <c r="A177" s="14"/>
      <c r="B177" s="71" t="s">
        <v>224</v>
      </c>
      <c r="C177" s="91">
        <f t="shared" si="14" ref="C177:H177">SUM(C178:C180)</f>
        <v>0</v>
      </c>
      <c r="D177" s="91">
        <f t="shared" si="14"/>
        <v>229792</v>
      </c>
      <c r="E177" s="91">
        <f t="shared" si="14"/>
        <v>12820</v>
      </c>
      <c r="F177" s="91">
        <f t="shared" si="14"/>
        <v>0</v>
      </c>
      <c r="G177" s="91">
        <f t="shared" si="14"/>
        <v>0</v>
      </c>
      <c r="H177" s="216">
        <f t="shared" si="14"/>
        <v>242612</v>
      </c>
      <c r="I177" s="56"/>
    </row>
    <row r="178" spans="1:9" ht="15" customHeight="1">
      <c r="A178" s="48"/>
      <c r="B178" s="70" t="s">
        <v>225</v>
      </c>
      <c r="C178" s="165"/>
      <c r="D178" s="67">
        <f t="shared" si="13"/>
        <v>135753</v>
      </c>
      <c r="E178" s="67">
        <v>10850</v>
      </c>
      <c r="F178" s="67"/>
      <c r="G178" s="67"/>
      <c r="H178" s="216">
        <f>'4.pielikums'!B153</f>
        <v>146603</v>
      </c>
      <c r="I178" s="56"/>
    </row>
    <row r="179" spans="1:9" ht="15" customHeight="1">
      <c r="A179" s="48"/>
      <c r="B179" s="70" t="s">
        <v>97</v>
      </c>
      <c r="C179" s="165"/>
      <c r="D179" s="67">
        <f t="shared" si="13"/>
        <v>50068</v>
      </c>
      <c r="E179" s="67">
        <v>600</v>
      </c>
      <c r="F179" s="67"/>
      <c r="G179" s="67"/>
      <c r="H179" s="216">
        <f>'4.pielikums'!B154</f>
        <v>50668</v>
      </c>
      <c r="I179" s="56"/>
    </row>
    <row r="180" spans="1:9" ht="15" customHeight="1">
      <c r="A180" s="48"/>
      <c r="B180" s="76" t="s">
        <v>83</v>
      </c>
      <c r="C180" s="164"/>
      <c r="D180" s="67">
        <f t="shared" si="13"/>
        <v>43971</v>
      </c>
      <c r="E180" s="67">
        <v>1370</v>
      </c>
      <c r="F180" s="67"/>
      <c r="G180" s="67"/>
      <c r="H180" s="216">
        <f>'4.pielikums'!B155</f>
        <v>45341</v>
      </c>
      <c r="I180" s="56"/>
    </row>
    <row r="181" spans="1:9" ht="15" customHeight="1">
      <c r="A181" s="14"/>
      <c r="B181" s="71" t="s">
        <v>226</v>
      </c>
      <c r="C181" s="91">
        <f t="shared" si="15" ref="C181:H181">SUM(C182:C201)</f>
        <v>0</v>
      </c>
      <c r="D181" s="91">
        <f t="shared" si="15"/>
        <v>680162</v>
      </c>
      <c r="E181" s="91">
        <f t="shared" si="15"/>
        <v>99885</v>
      </c>
      <c r="F181" s="91">
        <f t="shared" si="15"/>
        <v>27200</v>
      </c>
      <c r="G181" s="91">
        <f t="shared" si="15"/>
        <v>0</v>
      </c>
      <c r="H181" s="216">
        <f t="shared" si="15"/>
        <v>807247</v>
      </c>
      <c r="I181" s="56"/>
    </row>
    <row r="182" spans="1:9" ht="24" customHeight="1">
      <c r="A182" s="48"/>
      <c r="B182" s="70" t="s">
        <v>63</v>
      </c>
      <c r="C182" s="165"/>
      <c r="D182" s="67">
        <f t="shared" si="13"/>
        <v>276350</v>
      </c>
      <c r="E182" s="67">
        <v>9991</v>
      </c>
      <c r="F182" s="67">
        <v>16150</v>
      </c>
      <c r="G182" s="67"/>
      <c r="H182" s="216">
        <f>'4.pielikums'!B156</f>
        <v>302491</v>
      </c>
      <c r="I182" s="56"/>
    </row>
    <row r="183" spans="1:9" ht="30" customHeight="1">
      <c r="A183" s="48"/>
      <c r="B183" s="69" t="s">
        <v>230</v>
      </c>
      <c r="C183" s="164"/>
      <c r="D183" s="67">
        <f t="shared" si="13"/>
        <v>31352</v>
      </c>
      <c r="E183" s="67">
        <v>45854</v>
      </c>
      <c r="F183" s="67"/>
      <c r="G183" s="67"/>
      <c r="H183" s="216">
        <f>'4.pielikums'!B157</f>
        <v>77206</v>
      </c>
      <c r="I183" s="56"/>
    </row>
    <row r="184" spans="1:9" ht="15" customHeight="1">
      <c r="A184" s="48"/>
      <c r="B184" s="69" t="s">
        <v>98</v>
      </c>
      <c r="C184" s="164"/>
      <c r="D184" s="67">
        <f t="shared" si="13"/>
        <v>7279</v>
      </c>
      <c r="E184" s="67">
        <v>2530</v>
      </c>
      <c r="F184" s="67"/>
      <c r="G184" s="67"/>
      <c r="H184" s="216">
        <f>'4.pielikums'!B158</f>
        <v>9809</v>
      </c>
      <c r="I184" s="56"/>
    </row>
    <row r="185" spans="1:9" ht="15" customHeight="1">
      <c r="A185" s="48"/>
      <c r="B185" s="70" t="s">
        <v>139</v>
      </c>
      <c r="C185" s="165"/>
      <c r="D185" s="67">
        <f>H185-E185-G185-F185-C185</f>
        <v>6689</v>
      </c>
      <c r="E185" s="67">
        <v>4450</v>
      </c>
      <c r="F185" s="67"/>
      <c r="G185" s="67"/>
      <c r="H185" s="216">
        <f>'4.pielikums'!B159</f>
        <v>11139</v>
      </c>
      <c r="I185" s="56"/>
    </row>
    <row r="186" spans="1:9" ht="15" customHeight="1">
      <c r="A186" s="48"/>
      <c r="B186" s="69" t="s">
        <v>227</v>
      </c>
      <c r="C186" s="164"/>
      <c r="D186" s="67">
        <f t="shared" si="13"/>
        <v>9237</v>
      </c>
      <c r="E186" s="67">
        <v>700</v>
      </c>
      <c r="F186" s="67"/>
      <c r="G186" s="67"/>
      <c r="H186" s="216">
        <f>'4.pielikums'!B160</f>
        <v>9937</v>
      </c>
      <c r="I186" s="56"/>
    </row>
    <row r="187" spans="1:9" ht="15" customHeight="1">
      <c r="A187" s="48"/>
      <c r="B187" s="70" t="s">
        <v>24</v>
      </c>
      <c r="C187" s="165"/>
      <c r="D187" s="67">
        <f t="shared" si="13"/>
        <v>4508</v>
      </c>
      <c r="E187" s="67">
        <v>540</v>
      </c>
      <c r="F187" s="67"/>
      <c r="G187" s="67"/>
      <c r="H187" s="216">
        <f>'4.pielikums'!B161</f>
        <v>5048</v>
      </c>
      <c r="I187" s="56"/>
    </row>
    <row r="188" spans="1:9" ht="15" customHeight="1">
      <c r="A188" s="48"/>
      <c r="B188" s="70" t="s">
        <v>25</v>
      </c>
      <c r="C188" s="165"/>
      <c r="D188" s="67">
        <f t="shared" si="13"/>
        <v>18857</v>
      </c>
      <c r="E188" s="67">
        <v>4065</v>
      </c>
      <c r="F188" s="68"/>
      <c r="G188" s="67"/>
      <c r="H188" s="216">
        <f>'4.pielikums'!B162</f>
        <v>22922</v>
      </c>
      <c r="I188" s="56"/>
    </row>
    <row r="189" spans="1:9" ht="15" customHeight="1">
      <c r="A189" s="48"/>
      <c r="B189" s="69" t="s">
        <v>82</v>
      </c>
      <c r="C189" s="164"/>
      <c r="D189" s="67">
        <f t="shared" si="13"/>
        <v>15511</v>
      </c>
      <c r="E189" s="67">
        <v>3250</v>
      </c>
      <c r="F189" s="67"/>
      <c r="G189" s="67"/>
      <c r="H189" s="216">
        <f>'4.pielikums'!B163</f>
        <v>18761</v>
      </c>
      <c r="I189" s="56"/>
    </row>
    <row r="190" spans="1:9" ht="15" customHeight="1">
      <c r="A190" s="48"/>
      <c r="B190" s="70" t="s">
        <v>228</v>
      </c>
      <c r="C190" s="165"/>
      <c r="D190" s="67">
        <f t="shared" si="13"/>
        <v>2158</v>
      </c>
      <c r="E190" s="67">
        <v>0</v>
      </c>
      <c r="F190" s="68"/>
      <c r="G190" s="67"/>
      <c r="H190" s="216">
        <f>'4.pielikums'!B164</f>
        <v>2158</v>
      </c>
      <c r="I190" s="56"/>
    </row>
    <row r="191" spans="1:9" ht="15" customHeight="1">
      <c r="A191" s="48"/>
      <c r="B191" s="76" t="s">
        <v>102</v>
      </c>
      <c r="C191" s="164"/>
      <c r="D191" s="67">
        <f t="shared" si="13"/>
        <v>7607</v>
      </c>
      <c r="E191" s="67">
        <v>4000</v>
      </c>
      <c r="F191" s="67"/>
      <c r="G191" s="67"/>
      <c r="H191" s="216">
        <f>'4.pielikums'!B165</f>
        <v>11607</v>
      </c>
      <c r="I191" s="56"/>
    </row>
    <row r="192" spans="1:9" ht="15" customHeight="1">
      <c r="A192" s="48"/>
      <c r="B192" s="70" t="s">
        <v>144</v>
      </c>
      <c r="C192" s="165"/>
      <c r="D192" s="67">
        <f t="shared" si="13"/>
        <v>5300</v>
      </c>
      <c r="E192" s="67">
        <v>530</v>
      </c>
      <c r="F192" s="67"/>
      <c r="G192" s="67"/>
      <c r="H192" s="216">
        <f>'4.pielikums'!B166</f>
        <v>5830</v>
      </c>
      <c r="I192" s="56"/>
    </row>
    <row r="193" spans="1:9" ht="15" customHeight="1">
      <c r="A193" s="48"/>
      <c r="B193" s="70" t="s">
        <v>136</v>
      </c>
      <c r="C193" s="165"/>
      <c r="D193" s="67">
        <f t="shared" si="13"/>
        <v>3972</v>
      </c>
      <c r="E193" s="67">
        <v>100</v>
      </c>
      <c r="F193" s="67"/>
      <c r="G193" s="67"/>
      <c r="H193" s="216">
        <f>'4.pielikums'!B167</f>
        <v>4072</v>
      </c>
      <c r="I193" s="56"/>
    </row>
    <row r="194" spans="1:9" ht="15" customHeight="1">
      <c r="A194" s="48"/>
      <c r="B194" s="69" t="s">
        <v>130</v>
      </c>
      <c r="C194" s="164"/>
      <c r="D194" s="67">
        <f t="shared" si="13"/>
        <v>17345</v>
      </c>
      <c r="E194" s="67">
        <v>3280</v>
      </c>
      <c r="F194" s="67"/>
      <c r="G194" s="67"/>
      <c r="H194" s="216">
        <f>'4.pielikums'!B168</f>
        <v>20625</v>
      </c>
      <c r="I194" s="56"/>
    </row>
    <row r="195" spans="1:9" ht="15" customHeight="1">
      <c r="A195" s="48"/>
      <c r="B195" s="70" t="s">
        <v>154</v>
      </c>
      <c r="C195" s="165"/>
      <c r="D195" s="67">
        <f t="shared" si="13"/>
        <v>13081</v>
      </c>
      <c r="E195" s="67">
        <v>2657</v>
      </c>
      <c r="F195" s="67"/>
      <c r="G195" s="67"/>
      <c r="H195" s="216">
        <f>'4.pielikums'!B169</f>
        <v>15738</v>
      </c>
      <c r="I195" s="56"/>
    </row>
    <row r="196" spans="1:9" ht="15" customHeight="1">
      <c r="A196" s="48"/>
      <c r="B196" s="113" t="s">
        <v>146</v>
      </c>
      <c r="C196" s="164"/>
      <c r="D196" s="67">
        <f t="shared" si="13"/>
        <v>7738</v>
      </c>
      <c r="E196" s="67">
        <v>590</v>
      </c>
      <c r="F196" s="67"/>
      <c r="G196" s="67"/>
      <c r="H196" s="216">
        <f>'4.pielikums'!B170</f>
        <v>8328</v>
      </c>
      <c r="I196" s="56"/>
    </row>
    <row r="197" spans="1:9" ht="15" customHeight="1">
      <c r="A197" s="48"/>
      <c r="B197" s="70" t="s">
        <v>26</v>
      </c>
      <c r="C197" s="165"/>
      <c r="D197" s="67">
        <f t="shared" si="13"/>
        <v>9440</v>
      </c>
      <c r="E197" s="67">
        <v>765</v>
      </c>
      <c r="F197" s="67"/>
      <c r="G197" s="67"/>
      <c r="H197" s="216">
        <f>'4.pielikums'!B171</f>
        <v>10205</v>
      </c>
      <c r="I197" s="56"/>
    </row>
    <row r="198" spans="1:9" ht="15" customHeight="1">
      <c r="A198" s="48"/>
      <c r="B198" s="76" t="s">
        <v>100</v>
      </c>
      <c r="C198" s="164"/>
      <c r="D198" s="67">
        <f t="shared" si="13"/>
        <v>134492</v>
      </c>
      <c r="E198" s="67">
        <v>9650</v>
      </c>
      <c r="F198" s="67">
        <v>7650</v>
      </c>
      <c r="G198" s="67"/>
      <c r="H198" s="216">
        <f>'4.pielikums'!B172</f>
        <v>151792</v>
      </c>
      <c r="I198" s="56"/>
    </row>
    <row r="199" spans="1:9" ht="15" customHeight="1">
      <c r="A199" s="48"/>
      <c r="B199" s="76" t="s">
        <v>99</v>
      </c>
      <c r="C199" s="164"/>
      <c r="D199" s="67">
        <f t="shared" si="13"/>
        <v>13992</v>
      </c>
      <c r="E199" s="67">
        <v>2493</v>
      </c>
      <c r="F199" s="67"/>
      <c r="G199" s="67"/>
      <c r="H199" s="216">
        <f>'4.pielikums'!B173</f>
        <v>16485</v>
      </c>
      <c r="I199" s="56"/>
    </row>
    <row r="200" spans="1:9" ht="30" customHeight="1">
      <c r="A200" s="48"/>
      <c r="B200" s="76" t="s">
        <v>103</v>
      </c>
      <c r="C200" s="164"/>
      <c r="D200" s="67">
        <f t="shared" si="13"/>
        <v>8133</v>
      </c>
      <c r="E200" s="67">
        <v>2040</v>
      </c>
      <c r="F200" s="67"/>
      <c r="G200" s="67"/>
      <c r="H200" s="216">
        <f>'4.pielikums'!B174</f>
        <v>10173</v>
      </c>
      <c r="I200" s="56"/>
    </row>
    <row r="201" spans="1:9" ht="30" customHeight="1">
      <c r="A201" s="48"/>
      <c r="B201" s="76" t="s">
        <v>229</v>
      </c>
      <c r="C201" s="164"/>
      <c r="D201" s="67">
        <f>H201-E201-G201-F201-C201</f>
        <v>87121</v>
      </c>
      <c r="E201" s="67">
        <v>2400</v>
      </c>
      <c r="F201" s="67">
        <v>3400</v>
      </c>
      <c r="G201" s="67"/>
      <c r="H201" s="216">
        <f>'4.pielikums'!B175+'4.pielikums'!B176+'4.pielikums'!B177</f>
        <v>92921</v>
      </c>
      <c r="I201" s="56"/>
    </row>
    <row r="202" spans="1:9" ht="15" customHeight="1">
      <c r="A202" s="14" t="s">
        <v>231</v>
      </c>
      <c r="B202" s="72" t="s">
        <v>232</v>
      </c>
      <c r="C202" s="155"/>
      <c r="D202" s="155">
        <f>D203+D204+D205+D208+D206+D207</f>
        <v>684714</v>
      </c>
      <c r="E202" s="155">
        <f>SUM(E203:E208)</f>
        <v>9323</v>
      </c>
      <c r="F202" s="155">
        <f>SUM(F203:F208)</f>
        <v>34000</v>
      </c>
      <c r="G202" s="155">
        <f>SUM(G203:G208)</f>
        <v>0</v>
      </c>
      <c r="H202" s="216">
        <f>SUM(H203:H208)</f>
        <v>728037</v>
      </c>
      <c r="I202" s="56"/>
    </row>
    <row r="203" spans="1:9" ht="15" customHeight="1">
      <c r="A203" s="48"/>
      <c r="B203" s="69" t="s">
        <v>117</v>
      </c>
      <c r="C203" s="164"/>
      <c r="D203" s="67">
        <f t="shared" si="13"/>
        <v>562614</v>
      </c>
      <c r="E203" s="67"/>
      <c r="F203" s="67">
        <v>34000</v>
      </c>
      <c r="G203" s="67"/>
      <c r="H203" s="216">
        <f>'4.pielikums'!B178</f>
        <v>596614</v>
      </c>
      <c r="I203" s="56"/>
    </row>
    <row r="204" spans="1:9" ht="15" customHeight="1">
      <c r="A204" s="48"/>
      <c r="B204" s="69" t="s">
        <v>118</v>
      </c>
      <c r="C204" s="164"/>
      <c r="D204" s="67">
        <f>H204-E204-G204-F204-C204</f>
        <v>33026</v>
      </c>
      <c r="E204" s="67">
        <v>9323</v>
      </c>
      <c r="F204" s="67"/>
      <c r="G204" s="67"/>
      <c r="H204" s="216">
        <f>'4.pielikums'!B179</f>
        <v>42349</v>
      </c>
      <c r="I204" s="56"/>
    </row>
    <row r="205" spans="1:9" ht="30" customHeight="1">
      <c r="A205" s="48"/>
      <c r="B205" s="113" t="s">
        <v>27</v>
      </c>
      <c r="C205" s="164"/>
      <c r="D205" s="67">
        <f t="shared" si="13"/>
        <v>65300</v>
      </c>
      <c r="E205" s="67"/>
      <c r="F205" s="67"/>
      <c r="G205" s="67"/>
      <c r="H205" s="216">
        <f>'4.pielikums'!B180</f>
        <v>65300</v>
      </c>
      <c r="I205" s="56"/>
    </row>
    <row r="206" spans="1:9" s="85" customFormat="1" ht="24.75" customHeight="1">
      <c r="A206" s="191"/>
      <c r="B206" s="113" t="s">
        <v>581</v>
      </c>
      <c r="C206" s="164"/>
      <c r="D206" s="67">
        <f t="shared" si="16" ref="D206:D208">H206-E206-G206-F206-C206</f>
        <v>3999</v>
      </c>
      <c r="E206" s="67"/>
      <c r="F206" s="67"/>
      <c r="G206" s="67"/>
      <c r="H206" s="216">
        <f>'4.pielikums'!B257</f>
        <v>3999</v>
      </c>
      <c r="I206" s="192"/>
    </row>
    <row r="207" spans="1:9" s="85" customFormat="1" ht="33.75" customHeight="1">
      <c r="A207" s="191"/>
      <c r="B207" s="113" t="s">
        <v>740</v>
      </c>
      <c r="C207" s="164"/>
      <c r="D207" s="67">
        <f t="shared" si="16"/>
        <v>15775</v>
      </c>
      <c r="E207" s="67"/>
      <c r="F207" s="67"/>
      <c r="G207" s="67"/>
      <c r="H207" s="216">
        <f>'4.pielikums'!B274</f>
        <v>15775</v>
      </c>
      <c r="I207" s="192"/>
    </row>
    <row r="208" spans="1:9" ht="30" customHeight="1">
      <c r="A208" s="14"/>
      <c r="B208" s="113" t="s">
        <v>742</v>
      </c>
      <c r="C208" s="164"/>
      <c r="D208" s="67">
        <f t="shared" si="16"/>
        <v>4000</v>
      </c>
      <c r="E208" s="67"/>
      <c r="F208" s="67"/>
      <c r="G208" s="67"/>
      <c r="H208" s="216">
        <f>'4.pielikums'!B256</f>
        <v>4000</v>
      </c>
      <c r="I208" s="56"/>
    </row>
    <row r="209" spans="1:10" ht="15" customHeight="1">
      <c r="A209" s="14" t="s">
        <v>233</v>
      </c>
      <c r="B209" s="71" t="s">
        <v>234</v>
      </c>
      <c r="C209" s="91">
        <f>C210+C218+C225+C233+C239+C242</f>
        <v>188384.51</v>
      </c>
      <c r="D209" s="91">
        <f t="shared" si="17" ref="D209:H209">D210+D218+D225+D233+D239+D242</f>
        <v>8124985.4900000002</v>
      </c>
      <c r="E209" s="91">
        <f>E210+E218+E225+E233+E239+E242</f>
        <v>365853</v>
      </c>
      <c r="F209" s="91">
        <f t="shared" si="17"/>
        <v>5905232</v>
      </c>
      <c r="G209" s="91">
        <f t="shared" si="17"/>
        <v>190180</v>
      </c>
      <c r="H209" s="216">
        <f t="shared" si="17"/>
        <v>14774635</v>
      </c>
      <c r="I209" s="56"/>
      <c r="J209" s="56"/>
    </row>
    <row r="210" spans="1:9" ht="15" customHeight="1">
      <c r="A210" s="14"/>
      <c r="B210" s="71" t="s">
        <v>235</v>
      </c>
      <c r="C210" s="91">
        <f t="shared" si="18" ref="C210:H210">SUM(C211:C216)</f>
        <v>0</v>
      </c>
      <c r="D210" s="91">
        <f t="shared" si="18"/>
        <v>1973687</v>
      </c>
      <c r="E210" s="91">
        <f>SUM(E211:E216)</f>
        <v>93836</v>
      </c>
      <c r="F210" s="91">
        <f t="shared" si="18"/>
        <v>365796</v>
      </c>
      <c r="G210" s="91">
        <f t="shared" si="18"/>
        <v>0</v>
      </c>
      <c r="H210" s="216">
        <f t="shared" si="18"/>
        <v>2433319</v>
      </c>
      <c r="I210" s="56"/>
    </row>
    <row r="211" spans="1:9" ht="15" customHeight="1">
      <c r="A211" s="48"/>
      <c r="B211" s="70" t="s">
        <v>28</v>
      </c>
      <c r="C211" s="165"/>
      <c r="D211" s="67">
        <f t="shared" si="19" ref="D211:D216">H211-E211-G211-F211-C211</f>
        <v>700343</v>
      </c>
      <c r="E211" s="67">
        <v>41200</v>
      </c>
      <c r="F211" s="67">
        <f>4531+190798</f>
        <v>195329</v>
      </c>
      <c r="G211" s="67"/>
      <c r="H211" s="216">
        <f>'4.pielikums'!B181</f>
        <v>936872</v>
      </c>
      <c r="I211" s="56"/>
    </row>
    <row r="212" spans="1:9" ht="15" customHeight="1">
      <c r="A212" s="48"/>
      <c r="B212" s="70" t="s">
        <v>29</v>
      </c>
      <c r="C212" s="165"/>
      <c r="D212" s="67">
        <f t="shared" si="19"/>
        <v>484969</v>
      </c>
      <c r="E212" s="67">
        <v>24400</v>
      </c>
      <c r="F212" s="67">
        <v>85256</v>
      </c>
      <c r="G212" s="67"/>
      <c r="H212" s="216">
        <f>'4.pielikums'!B182</f>
        <v>594625</v>
      </c>
      <c r="I212" s="56"/>
    </row>
    <row r="213" spans="1:9" ht="15" customHeight="1">
      <c r="A213" s="48"/>
      <c r="B213" s="70" t="s">
        <v>30</v>
      </c>
      <c r="C213" s="165"/>
      <c r="D213" s="67">
        <f t="shared" si="19"/>
        <v>142707</v>
      </c>
      <c r="E213" s="67">
        <v>4250</v>
      </c>
      <c r="F213" s="67">
        <v>8672</v>
      </c>
      <c r="G213" s="67"/>
      <c r="H213" s="216">
        <f>'4.pielikums'!B183</f>
        <v>155629</v>
      </c>
      <c r="I213" s="56"/>
    </row>
    <row r="214" spans="1:9" ht="15" customHeight="1">
      <c r="A214" s="48"/>
      <c r="B214" s="70" t="s">
        <v>542</v>
      </c>
      <c r="C214" s="165"/>
      <c r="D214" s="67">
        <f t="shared" si="19"/>
        <v>309509</v>
      </c>
      <c r="E214" s="67">
        <v>14426</v>
      </c>
      <c r="F214" s="67">
        <v>20232</v>
      </c>
      <c r="G214" s="67"/>
      <c r="H214" s="216">
        <f>'4.pielikums'!B184</f>
        <v>344167</v>
      </c>
      <c r="I214" s="56"/>
    </row>
    <row r="215" spans="1:9" ht="30" customHeight="1">
      <c r="A215" s="48"/>
      <c r="B215" s="76" t="s">
        <v>107</v>
      </c>
      <c r="C215" s="164"/>
      <c r="D215" s="67">
        <f t="shared" si="19"/>
        <v>286063</v>
      </c>
      <c r="E215" s="67">
        <v>8300</v>
      </c>
      <c r="F215" s="67">
        <f>4531+51776</f>
        <v>56307</v>
      </c>
      <c r="G215" s="67"/>
      <c r="H215" s="216">
        <f>'4.pielikums'!B185</f>
        <v>350670</v>
      </c>
      <c r="I215" s="56"/>
    </row>
    <row r="216" spans="1:9" ht="30" customHeight="1">
      <c r="A216" s="48"/>
      <c r="B216" s="76" t="s">
        <v>634</v>
      </c>
      <c r="C216" s="164"/>
      <c r="D216" s="67">
        <f t="shared" si="19"/>
        <v>50096</v>
      </c>
      <c r="E216" s="67">
        <v>1260</v>
      </c>
      <c r="F216" s="67"/>
      <c r="G216" s="67"/>
      <c r="H216" s="216">
        <f>'4.pielikums'!B186</f>
        <v>51356</v>
      </c>
      <c r="I216" s="56"/>
    </row>
    <row r="217" spans="1:9" ht="31.5">
      <c r="A217" s="14"/>
      <c r="B217" s="162" t="s">
        <v>236</v>
      </c>
      <c r="C217" s="154"/>
      <c r="D217" s="67"/>
      <c r="E217" s="67"/>
      <c r="F217" s="67"/>
      <c r="G217" s="67"/>
      <c r="H217" s="216"/>
      <c r="I217" s="56"/>
    </row>
    <row r="218" spans="1:9" ht="15" customHeight="1">
      <c r="A218" s="14"/>
      <c r="B218" s="71" t="s">
        <v>237</v>
      </c>
      <c r="C218" s="91">
        <f t="shared" si="20" ref="C218:H218">SUM(C219:C224)</f>
        <v>0</v>
      </c>
      <c r="D218" s="91">
        <f t="shared" si="20"/>
        <v>1629861</v>
      </c>
      <c r="E218" s="91">
        <f t="shared" si="20"/>
        <v>68547</v>
      </c>
      <c r="F218" s="91">
        <f t="shared" si="20"/>
        <v>1898025</v>
      </c>
      <c r="G218" s="91">
        <f t="shared" si="20"/>
        <v>0</v>
      </c>
      <c r="H218" s="216">
        <f t="shared" si="20"/>
        <v>3596433</v>
      </c>
      <c r="I218" s="56"/>
    </row>
    <row r="219" spans="1:9" ht="15" customHeight="1">
      <c r="A219" s="48"/>
      <c r="B219" s="70" t="s">
        <v>66</v>
      </c>
      <c r="C219" s="165"/>
      <c r="D219" s="67">
        <f t="shared" si="21" ref="D219:D279">H219-E219-G219-F219-C219</f>
        <v>418896</v>
      </c>
      <c r="E219" s="67">
        <v>15100</v>
      </c>
      <c r="F219" s="74">
        <f>83591+4953+18710+670640</f>
        <v>777894</v>
      </c>
      <c r="G219" s="67"/>
      <c r="H219" s="216">
        <f>'4.pielikums'!B187</f>
        <v>1211890</v>
      </c>
      <c r="I219" s="56"/>
    </row>
    <row r="220" spans="1:9" ht="15" customHeight="1">
      <c r="A220" s="48"/>
      <c r="B220" s="70" t="s">
        <v>112</v>
      </c>
      <c r="C220" s="165"/>
      <c r="D220" s="67">
        <f t="shared" si="21"/>
        <v>362367</v>
      </c>
      <c r="E220" s="67">
        <v>19853</v>
      </c>
      <c r="F220" s="67">
        <f>4752+5587+7200+107624+14448</f>
        <v>139611</v>
      </c>
      <c r="G220" s="67"/>
      <c r="H220" s="216">
        <f>'4.pielikums'!B188</f>
        <v>521831</v>
      </c>
      <c r="I220" s="56"/>
    </row>
    <row r="221" spans="1:9" ht="15" customHeight="1">
      <c r="A221" s="48"/>
      <c r="B221" s="70" t="s">
        <v>238</v>
      </c>
      <c r="C221" s="165"/>
      <c r="D221" s="67">
        <f t="shared" si="21"/>
        <v>228281</v>
      </c>
      <c r="E221" s="67">
        <v>7050</v>
      </c>
      <c r="F221" s="74">
        <f>5041+50482+3359+232976+31472</f>
        <v>323330</v>
      </c>
      <c r="G221" s="67"/>
      <c r="H221" s="216">
        <f>'4.pielikums'!B189</f>
        <v>558661</v>
      </c>
      <c r="I221" s="56"/>
    </row>
    <row r="222" spans="1:9" ht="15" customHeight="1">
      <c r="A222" s="48"/>
      <c r="B222" s="70" t="s">
        <v>31</v>
      </c>
      <c r="C222" s="165"/>
      <c r="D222" s="67">
        <f t="shared" si="21"/>
        <v>149069</v>
      </c>
      <c r="E222" s="67">
        <v>3744</v>
      </c>
      <c r="F222" s="67">
        <f>6855+2558+6240+223984</f>
        <v>239637</v>
      </c>
      <c r="G222" s="67"/>
      <c r="H222" s="216">
        <f>'4.pielikums'!B190</f>
        <v>392450</v>
      </c>
      <c r="I222" s="56"/>
    </row>
    <row r="223" spans="1:9" ht="15" customHeight="1">
      <c r="A223" s="48"/>
      <c r="B223" s="70" t="s">
        <v>170</v>
      </c>
      <c r="C223" s="165"/>
      <c r="D223" s="67">
        <f t="shared" si="21"/>
        <v>398686</v>
      </c>
      <c r="E223" s="67">
        <v>11250</v>
      </c>
      <c r="F223" s="67">
        <f>11373+42557+12471+335256+15896</f>
        <v>417553</v>
      </c>
      <c r="G223" s="67"/>
      <c r="H223" s="216">
        <f>'4.pielikums'!B191</f>
        <v>827489</v>
      </c>
      <c r="I223" s="56"/>
    </row>
    <row r="224" spans="1:9" ht="30" customHeight="1">
      <c r="A224" s="48"/>
      <c r="B224" s="69" t="s">
        <v>171</v>
      </c>
      <c r="C224" s="164"/>
      <c r="D224" s="67">
        <f t="shared" si="21"/>
        <v>72562</v>
      </c>
      <c r="E224" s="67">
        <v>11550</v>
      </c>
      <c r="F224" s="67"/>
      <c r="G224" s="67"/>
      <c r="H224" s="216">
        <f>'4.pielikums'!B192</f>
        <v>84112</v>
      </c>
      <c r="I224" s="56"/>
    </row>
    <row r="225" spans="1:9" ht="15" customHeight="1">
      <c r="A225" s="14"/>
      <c r="B225" s="71" t="s">
        <v>239</v>
      </c>
      <c r="C225" s="91">
        <f>SUM(C226:C232)</f>
        <v>78870</v>
      </c>
      <c r="D225" s="91">
        <f t="shared" si="22" ref="D225:G225">SUM(D226:D231)</f>
        <v>2602839</v>
      </c>
      <c r="E225" s="91">
        <f>SUM(E226:E231)</f>
        <v>62066</v>
      </c>
      <c r="F225" s="91">
        <f t="shared" si="22"/>
        <v>2215394</v>
      </c>
      <c r="G225" s="91">
        <f t="shared" si="22"/>
        <v>0</v>
      </c>
      <c r="H225" s="216">
        <f>SUM(H226:H232)</f>
        <v>4959169</v>
      </c>
      <c r="I225" s="56"/>
    </row>
    <row r="226" spans="1:9" ht="15" customHeight="1">
      <c r="A226" s="48"/>
      <c r="B226" s="70" t="s">
        <v>32</v>
      </c>
      <c r="C226" s="165"/>
      <c r="D226" s="67">
        <f t="shared" si="21"/>
        <v>479738</v>
      </c>
      <c r="E226" s="67">
        <v>18072</v>
      </c>
      <c r="F226" s="67">
        <f>15352+499088</f>
        <v>514440</v>
      </c>
      <c r="G226" s="67"/>
      <c r="H226" s="216">
        <f>'4.pielikums'!B193</f>
        <v>1012250</v>
      </c>
      <c r="I226" s="56"/>
    </row>
    <row r="227" spans="1:9" ht="15" customHeight="1">
      <c r="A227" s="48"/>
      <c r="B227" s="70" t="s">
        <v>569</v>
      </c>
      <c r="C227" s="165"/>
      <c r="D227" s="67">
        <f t="shared" si="21"/>
        <v>317986</v>
      </c>
      <c r="E227" s="67">
        <v>9373</v>
      </c>
      <c r="F227" s="67">
        <f>16603+15864+356744</f>
        <v>389211</v>
      </c>
      <c r="G227" s="67"/>
      <c r="H227" s="216">
        <f>'4.pielikums'!B194</f>
        <v>716570</v>
      </c>
      <c r="I227" s="56"/>
    </row>
    <row r="228" spans="1:9" ht="30" customHeight="1">
      <c r="A228" s="48"/>
      <c r="B228" s="69" t="s">
        <v>240</v>
      </c>
      <c r="C228" s="164"/>
      <c r="D228" s="67">
        <f t="shared" si="21"/>
        <v>492170</v>
      </c>
      <c r="E228" s="67">
        <v>4950</v>
      </c>
      <c r="F228" s="67">
        <f>11035+201376+267672</f>
        <v>480083</v>
      </c>
      <c r="G228" s="67"/>
      <c r="H228" s="216">
        <f>'4.pielikums'!B195</f>
        <v>977203</v>
      </c>
      <c r="I228" s="56"/>
    </row>
    <row r="229" spans="1:9" ht="15" customHeight="1">
      <c r="A229" s="48"/>
      <c r="B229" s="69" t="s">
        <v>110</v>
      </c>
      <c r="C229" s="164"/>
      <c r="D229" s="67">
        <f t="shared" si="21"/>
        <v>411280</v>
      </c>
      <c r="E229" s="67">
        <f>3400+2430</f>
        <v>5830</v>
      </c>
      <c r="F229" s="67">
        <f>7645+9112+166736+36128</f>
        <v>219621</v>
      </c>
      <c r="G229" s="67"/>
      <c r="H229" s="216">
        <f>'4.pielikums'!B196</f>
        <v>636731</v>
      </c>
      <c r="I229" s="56"/>
    </row>
    <row r="230" spans="1:9" ht="15" customHeight="1">
      <c r="A230" s="48"/>
      <c r="B230" s="69" t="s">
        <v>105</v>
      </c>
      <c r="C230" s="164"/>
      <c r="D230" s="67">
        <f t="shared" si="21"/>
        <v>407623</v>
      </c>
      <c r="E230" s="67">
        <v>13301</v>
      </c>
      <c r="F230" s="67">
        <f>12389+6474+9120+220328+47160</f>
        <v>295471</v>
      </c>
      <c r="G230" s="67"/>
      <c r="H230" s="216">
        <f>'4.pielikums'!B197</f>
        <v>716395</v>
      </c>
      <c r="I230" s="56"/>
    </row>
    <row r="231" spans="1:9" ht="15" customHeight="1">
      <c r="A231" s="48"/>
      <c r="B231" s="69" t="s">
        <v>114</v>
      </c>
      <c r="C231" s="164"/>
      <c r="D231" s="67">
        <f t="shared" si="21"/>
        <v>494042</v>
      </c>
      <c r="E231" s="74">
        <v>10540</v>
      </c>
      <c r="F231" s="67">
        <f>16033+11039+254816+34680</f>
        <v>316568</v>
      </c>
      <c r="G231" s="67"/>
      <c r="H231" s="216">
        <f>'4.pielikums'!B198</f>
        <v>821150</v>
      </c>
      <c r="I231" s="56"/>
    </row>
    <row r="232" spans="1:9" ht="30.75" customHeight="1">
      <c r="A232" s="48"/>
      <c r="B232" s="69" t="s">
        <v>724</v>
      </c>
      <c r="C232" s="164">
        <v>78870</v>
      </c>
      <c r="D232" s="67">
        <f t="shared" si="21"/>
        <v>0</v>
      </c>
      <c r="E232" s="74"/>
      <c r="F232" s="67"/>
      <c r="G232" s="67"/>
      <c r="H232" s="216">
        <f>'4.pielikums'!B229</f>
        <v>78870</v>
      </c>
      <c r="I232" s="56"/>
    </row>
    <row r="233" spans="1:9" ht="30" customHeight="1">
      <c r="A233" s="54"/>
      <c r="B233" s="162" t="s">
        <v>241</v>
      </c>
      <c r="C233" s="91">
        <f t="shared" si="23" ref="C233:H233">SUM(C234:C238)</f>
        <v>0</v>
      </c>
      <c r="D233" s="91">
        <f>SUM(D234:D238)</f>
        <v>875843</v>
      </c>
      <c r="E233" s="91">
        <f>SUM(E234:E238)</f>
        <v>134204</v>
      </c>
      <c r="F233" s="91">
        <f t="shared" si="23"/>
        <v>1014457</v>
      </c>
      <c r="G233" s="91">
        <f t="shared" si="23"/>
        <v>0</v>
      </c>
      <c r="H233" s="216">
        <f t="shared" si="23"/>
        <v>2024504</v>
      </c>
      <c r="I233" s="56"/>
    </row>
    <row r="234" spans="1:9" ht="15" customHeight="1">
      <c r="A234" s="48"/>
      <c r="B234" s="70" t="s">
        <v>33</v>
      </c>
      <c r="C234" s="165"/>
      <c r="D234" s="67">
        <f>H234-E234-G234-F234-C234</f>
        <v>158032</v>
      </c>
      <c r="E234" s="67">
        <f>13436+420</f>
        <v>13856</v>
      </c>
      <c r="F234" s="67">
        <f>11992+496800</f>
        <v>508792</v>
      </c>
      <c r="G234" s="67"/>
      <c r="H234" s="216">
        <f>'4.pielikums'!B199</f>
        <v>680680</v>
      </c>
      <c r="I234" s="56"/>
    </row>
    <row r="235" spans="1:9" ht="15" customHeight="1">
      <c r="A235" s="48"/>
      <c r="B235" s="70" t="s">
        <v>34</v>
      </c>
      <c r="C235" s="165"/>
      <c r="D235" s="67">
        <f>H235-E235-G235-F235-C235</f>
        <v>178368</v>
      </c>
      <c r="E235" s="67">
        <v>17496</v>
      </c>
      <c r="F235" s="67">
        <f>3838+57559</f>
        <v>61397</v>
      </c>
      <c r="G235" s="67"/>
      <c r="H235" s="216">
        <f>'4.pielikums'!B200</f>
        <v>257261</v>
      </c>
      <c r="I235" s="56"/>
    </row>
    <row r="236" spans="1:9" ht="15" customHeight="1">
      <c r="A236" s="48"/>
      <c r="B236" s="70" t="s">
        <v>35</v>
      </c>
      <c r="C236" s="165"/>
      <c r="D236" s="67">
        <f t="shared" si="21"/>
        <v>258176</v>
      </c>
      <c r="E236" s="67">
        <v>500</v>
      </c>
      <c r="F236" s="74">
        <f>10548+393332</f>
        <v>403880</v>
      </c>
      <c r="G236" s="67"/>
      <c r="H236" s="216">
        <f>'4.pielikums'!B201</f>
        <v>662556</v>
      </c>
      <c r="I236" s="56"/>
    </row>
    <row r="237" spans="1:9" ht="15" customHeight="1">
      <c r="A237" s="48"/>
      <c r="B237" s="70" t="s">
        <v>242</v>
      </c>
      <c r="C237" s="165"/>
      <c r="D237" s="67">
        <f t="shared" si="21"/>
        <v>138748</v>
      </c>
      <c r="E237" s="67">
        <v>100000</v>
      </c>
      <c r="F237" s="68"/>
      <c r="G237" s="67"/>
      <c r="H237" s="216">
        <f>'4.pielikums'!B202</f>
        <v>238748</v>
      </c>
      <c r="I237" s="56"/>
    </row>
    <row r="238" spans="1:9" ht="15" customHeight="1">
      <c r="A238" s="48"/>
      <c r="B238" s="70" t="s">
        <v>243</v>
      </c>
      <c r="C238" s="165"/>
      <c r="D238" s="67">
        <f t="shared" si="21"/>
        <v>142519</v>
      </c>
      <c r="E238" s="67">
        <v>2352</v>
      </c>
      <c r="F238" s="67">
        <f>40388</f>
        <v>40388</v>
      </c>
      <c r="G238" s="67"/>
      <c r="H238" s="216">
        <f>'4.pielikums'!B203</f>
        <v>185259</v>
      </c>
      <c r="I238" s="56"/>
    </row>
    <row r="239" spans="1:9" ht="22.5" customHeight="1">
      <c r="A239" s="14"/>
      <c r="B239" s="162" t="s">
        <v>244</v>
      </c>
      <c r="C239" s="91">
        <f t="shared" si="24" ref="C239:G239">C240</f>
        <v>0</v>
      </c>
      <c r="D239" s="91">
        <f>D240+D241</f>
        <v>332040</v>
      </c>
      <c r="E239" s="91">
        <f t="shared" si="24"/>
        <v>0</v>
      </c>
      <c r="F239" s="91">
        <f t="shared" si="24"/>
        <v>0</v>
      </c>
      <c r="G239" s="91">
        <f t="shared" si="24"/>
        <v>0</v>
      </c>
      <c r="H239" s="216">
        <f>H240+H241</f>
        <v>332040</v>
      </c>
      <c r="I239" s="56"/>
    </row>
    <row r="240" spans="1:9" ht="24" customHeight="1">
      <c r="A240" s="50"/>
      <c r="B240" s="113" t="s">
        <v>109</v>
      </c>
      <c r="C240" s="164"/>
      <c r="D240" s="67">
        <f t="shared" si="21"/>
        <v>282040</v>
      </c>
      <c r="E240" s="67"/>
      <c r="F240" s="67"/>
      <c r="G240" s="67"/>
      <c r="H240" s="216">
        <f>'4.pielikums'!B204</f>
        <v>282040</v>
      </c>
      <c r="I240" s="56"/>
    </row>
    <row r="241" spans="1:9" ht="24" customHeight="1">
      <c r="A241" s="50"/>
      <c r="B241" s="113" t="s">
        <v>744</v>
      </c>
      <c r="C241" s="164"/>
      <c r="D241" s="67">
        <f t="shared" si="21"/>
        <v>50000</v>
      </c>
      <c r="E241" s="67"/>
      <c r="F241" s="67"/>
      <c r="G241" s="67"/>
      <c r="H241" s="216">
        <f>'4.pielikums'!B275</f>
        <v>50000</v>
      </c>
      <c r="I241" s="56"/>
    </row>
    <row r="242" spans="1:10" ht="30" customHeight="1">
      <c r="A242" s="53"/>
      <c r="B242" s="162" t="s">
        <v>245</v>
      </c>
      <c r="C242" s="91">
        <f t="shared" si="25" ref="C242:H242">SUM(C243:C274)</f>
        <v>109514.51</v>
      </c>
      <c r="D242" s="91">
        <f t="shared" si="25"/>
        <v>710715.49</v>
      </c>
      <c r="E242" s="91">
        <f t="shared" si="25"/>
        <v>7200</v>
      </c>
      <c r="F242" s="91">
        <f t="shared" si="25"/>
        <v>411560</v>
      </c>
      <c r="G242" s="91">
        <f t="shared" si="25"/>
        <v>190180</v>
      </c>
      <c r="H242" s="216">
        <f t="shared" si="25"/>
        <v>1429170</v>
      </c>
      <c r="I242" s="56"/>
      <c r="J242" s="56"/>
    </row>
    <row r="243" spans="1:9" ht="15" customHeight="1">
      <c r="A243" s="47"/>
      <c r="B243" s="69" t="s">
        <v>116</v>
      </c>
      <c r="C243" s="123"/>
      <c r="D243" s="67">
        <f>H243-E243-G243-F243-C243</f>
        <v>47776</v>
      </c>
      <c r="E243" s="67">
        <v>5000</v>
      </c>
      <c r="F243" s="67"/>
      <c r="G243" s="67"/>
      <c r="H243" s="216">
        <f>'4.pielikums'!B205</f>
        <v>52776</v>
      </c>
      <c r="I243" s="56"/>
    </row>
    <row r="244" spans="1:9" ht="15" customHeight="1">
      <c r="A244" s="48"/>
      <c r="B244" s="76" t="s">
        <v>50</v>
      </c>
      <c r="C244" s="123">
        <v>59</v>
      </c>
      <c r="D244" s="67">
        <f>H244-E244-G244-F244-C244</f>
        <v>0</v>
      </c>
      <c r="E244" s="67"/>
      <c r="F244" s="67">
        <v>35560</v>
      </c>
      <c r="G244" s="67"/>
      <c r="H244" s="216">
        <f>'4.pielikums'!B206</f>
        <v>35619</v>
      </c>
      <c r="I244" s="56"/>
    </row>
    <row r="245" spans="1:9" ht="15" customHeight="1">
      <c r="A245" s="48"/>
      <c r="B245" s="159" t="s">
        <v>148</v>
      </c>
      <c r="C245" s="123"/>
      <c r="D245" s="67">
        <f t="shared" si="21"/>
        <v>21214</v>
      </c>
      <c r="E245" s="67"/>
      <c r="F245" s="67"/>
      <c r="G245" s="67"/>
      <c r="H245" s="216">
        <f>'4.pielikums'!B207</f>
        <v>21214</v>
      </c>
      <c r="I245" s="56"/>
    </row>
    <row r="246" spans="1:9" ht="21" customHeight="1">
      <c r="A246" s="48"/>
      <c r="B246" s="172" t="s">
        <v>134</v>
      </c>
      <c r="C246" s="123"/>
      <c r="D246" s="67">
        <f t="shared" si="21"/>
        <v>21371</v>
      </c>
      <c r="E246" s="67"/>
      <c r="F246" s="67"/>
      <c r="G246" s="67"/>
      <c r="H246" s="216">
        <f>'4.pielikums'!B208</f>
        <v>21371</v>
      </c>
      <c r="I246" s="56"/>
    </row>
    <row r="247" spans="1:9" ht="15" customHeight="1">
      <c r="A247" s="47"/>
      <c r="B247" s="172" t="s">
        <v>135</v>
      </c>
      <c r="C247" s="123"/>
      <c r="D247" s="67">
        <f t="shared" si="21"/>
        <v>25024</v>
      </c>
      <c r="E247" s="67"/>
      <c r="F247" s="67"/>
      <c r="G247" s="67"/>
      <c r="H247" s="216">
        <f>'4.pielikums'!B209</f>
        <v>25024</v>
      </c>
      <c r="I247" s="56"/>
    </row>
    <row r="248" spans="1:9" ht="15" customHeight="1">
      <c r="A248" s="47"/>
      <c r="B248" s="172" t="s">
        <v>131</v>
      </c>
      <c r="C248" s="123"/>
      <c r="D248" s="67">
        <f t="shared" si="21"/>
        <v>24346</v>
      </c>
      <c r="E248" s="67"/>
      <c r="F248" s="67"/>
      <c r="G248" s="67"/>
      <c r="H248" s="216">
        <f>'4.pielikums'!B210</f>
        <v>24346</v>
      </c>
      <c r="I248" s="56"/>
    </row>
    <row r="249" spans="1:9" ht="15" customHeight="1">
      <c r="A249" s="47"/>
      <c r="B249" s="172" t="s">
        <v>151</v>
      </c>
      <c r="C249" s="123"/>
      <c r="D249" s="67">
        <f t="shared" si="21"/>
        <v>31832</v>
      </c>
      <c r="E249" s="67"/>
      <c r="F249" s="67"/>
      <c r="G249" s="67"/>
      <c r="H249" s="216">
        <f>'4.pielikums'!B211</f>
        <v>31832</v>
      </c>
      <c r="I249" s="56"/>
    </row>
    <row r="250" spans="1:9" ht="15" customHeight="1">
      <c r="A250" s="47"/>
      <c r="B250" s="172" t="s">
        <v>133</v>
      </c>
      <c r="C250" s="123"/>
      <c r="D250" s="67">
        <f>H250-E250-G250-F250-C250</f>
        <v>21600</v>
      </c>
      <c r="E250" s="67"/>
      <c r="F250" s="67"/>
      <c r="G250" s="67"/>
      <c r="H250" s="216">
        <f>'4.pielikums'!B212</f>
        <v>21600</v>
      </c>
      <c r="I250" s="56"/>
    </row>
    <row r="251" spans="1:9" ht="15" customHeight="1">
      <c r="A251" s="47"/>
      <c r="B251" s="173" t="s">
        <v>141</v>
      </c>
      <c r="C251" s="123"/>
      <c r="D251" s="67">
        <f t="shared" si="21"/>
        <v>98061</v>
      </c>
      <c r="E251" s="67"/>
      <c r="F251" s="67"/>
      <c r="G251" s="67"/>
      <c r="H251" s="216">
        <f>'4.pielikums'!B213</f>
        <v>98061</v>
      </c>
      <c r="I251" s="56"/>
    </row>
    <row r="252" spans="1:9" ht="15" customHeight="1">
      <c r="A252" s="47"/>
      <c r="B252" s="172" t="s">
        <v>104</v>
      </c>
      <c r="C252" s="123"/>
      <c r="D252" s="67">
        <f t="shared" si="21"/>
        <v>62490</v>
      </c>
      <c r="E252" s="67">
        <v>1900</v>
      </c>
      <c r="F252" s="67"/>
      <c r="G252" s="67"/>
      <c r="H252" s="216">
        <f>'4.pielikums'!B214</f>
        <v>64390</v>
      </c>
      <c r="I252" s="56"/>
    </row>
    <row r="253" spans="1:9" ht="15" customHeight="1">
      <c r="A253" s="47"/>
      <c r="B253" s="172" t="s">
        <v>152</v>
      </c>
      <c r="C253" s="123"/>
      <c r="D253" s="67">
        <f t="shared" si="21"/>
        <v>35580</v>
      </c>
      <c r="E253" s="67"/>
      <c r="F253" s="67"/>
      <c r="G253" s="67"/>
      <c r="H253" s="216">
        <f>'4.pielikums'!B215</f>
        <v>35580</v>
      </c>
      <c r="I253" s="56"/>
    </row>
    <row r="254" spans="1:9" ht="15" customHeight="1">
      <c r="A254" s="47"/>
      <c r="B254" s="172" t="s">
        <v>147</v>
      </c>
      <c r="C254" s="123"/>
      <c r="D254" s="67">
        <f t="shared" si="21"/>
        <v>23419</v>
      </c>
      <c r="E254" s="67"/>
      <c r="F254" s="67"/>
      <c r="G254" s="67"/>
      <c r="H254" s="216">
        <f>'4.pielikums'!B216</f>
        <v>23419</v>
      </c>
      <c r="I254" s="56"/>
    </row>
    <row r="255" spans="1:9" ht="15" customHeight="1">
      <c r="A255" s="47"/>
      <c r="B255" s="172" t="s">
        <v>149</v>
      </c>
      <c r="C255" s="123"/>
      <c r="D255" s="67">
        <f t="shared" si="21"/>
        <v>36958</v>
      </c>
      <c r="E255" s="67">
        <v>300</v>
      </c>
      <c r="F255" s="67"/>
      <c r="G255" s="67"/>
      <c r="H255" s="216">
        <f>'4.pielikums'!B217</f>
        <v>37258</v>
      </c>
      <c r="I255" s="56"/>
    </row>
    <row r="256" spans="1:9" ht="15" customHeight="1">
      <c r="A256" s="47"/>
      <c r="B256" s="172" t="s">
        <v>140</v>
      </c>
      <c r="C256" s="123"/>
      <c r="D256" s="67">
        <f t="shared" si="21"/>
        <v>28528</v>
      </c>
      <c r="E256" s="67"/>
      <c r="F256" s="67"/>
      <c r="G256" s="67"/>
      <c r="H256" s="216">
        <f>'4.pielikums'!B218</f>
        <v>28528</v>
      </c>
      <c r="I256" s="56"/>
    </row>
    <row r="257" spans="1:9" ht="15" customHeight="1">
      <c r="A257" s="47"/>
      <c r="B257" s="69" t="s">
        <v>36</v>
      </c>
      <c r="C257" s="123"/>
      <c r="D257" s="67">
        <f t="shared" si="21"/>
        <v>6000</v>
      </c>
      <c r="E257" s="67"/>
      <c r="F257" s="67"/>
      <c r="G257" s="67"/>
      <c r="H257" s="216">
        <f>'4.pielikums'!B219</f>
        <v>6000</v>
      </c>
      <c r="I257" s="56"/>
    </row>
    <row r="258" spans="1:9" ht="30" customHeight="1">
      <c r="A258" s="47"/>
      <c r="B258" s="113" t="s">
        <v>64</v>
      </c>
      <c r="C258" s="123"/>
      <c r="D258" s="67">
        <f>H258-E258-G258-F258-C258</f>
        <v>100000</v>
      </c>
      <c r="E258" s="156"/>
      <c r="F258" s="67"/>
      <c r="G258" s="67"/>
      <c r="H258" s="216">
        <f>'4.pielikums'!B220</f>
        <v>100000</v>
      </c>
      <c r="I258" s="56"/>
    </row>
    <row r="259" spans="1:9" ht="30" customHeight="1">
      <c r="A259" s="47"/>
      <c r="B259" s="185" t="s">
        <v>712</v>
      </c>
      <c r="C259" s="123"/>
      <c r="D259" s="67">
        <f>H259-E259-G259-F259-C259</f>
        <v>44879</v>
      </c>
      <c r="E259" s="156"/>
      <c r="F259" s="67"/>
      <c r="G259" s="67"/>
      <c r="H259" s="216">
        <f>'4.pielikums'!B221</f>
        <v>44879</v>
      </c>
      <c r="I259" s="56"/>
    </row>
    <row r="260" spans="1:9" ht="30" customHeight="1">
      <c r="A260" s="47"/>
      <c r="B260" s="113" t="s">
        <v>47</v>
      </c>
      <c r="C260" s="123">
        <v>663</v>
      </c>
      <c r="D260" s="67">
        <f t="shared" si="26" ref="D260:D274">H260-E260-G260-F260-C260</f>
        <v>0</v>
      </c>
      <c r="E260" s="67"/>
      <c r="F260" s="67"/>
      <c r="G260" s="67"/>
      <c r="H260" s="216">
        <f>'4.pielikums'!B222</f>
        <v>663</v>
      </c>
      <c r="I260" s="56"/>
    </row>
    <row r="261" spans="1:9" ht="30" customHeight="1">
      <c r="A261" s="50"/>
      <c r="B261" s="113" t="s">
        <v>165</v>
      </c>
      <c r="C261" s="123">
        <v>8825</v>
      </c>
      <c r="D261" s="67">
        <f t="shared" si="26"/>
        <v>0</v>
      </c>
      <c r="E261" s="67"/>
      <c r="F261" s="67"/>
      <c r="G261" s="67"/>
      <c r="H261" s="216">
        <f>'4.pielikums'!B223</f>
        <v>8825</v>
      </c>
      <c r="I261" s="56"/>
    </row>
    <row r="262" spans="1:9" ht="30" customHeight="1">
      <c r="A262" s="50"/>
      <c r="B262" s="76" t="s">
        <v>106</v>
      </c>
      <c r="C262" s="123">
        <v>26933</v>
      </c>
      <c r="D262" s="67">
        <f t="shared" si="26"/>
        <v>0</v>
      </c>
      <c r="E262" s="67"/>
      <c r="F262" s="67"/>
      <c r="G262" s="67"/>
      <c r="H262" s="216">
        <f>'4.pielikums'!B224</f>
        <v>26933</v>
      </c>
      <c r="I262" s="56"/>
    </row>
    <row r="263" spans="1:9" ht="61.5" customHeight="1">
      <c r="A263" s="50"/>
      <c r="B263" s="190" t="s">
        <v>726</v>
      </c>
      <c r="C263" s="123">
        <v>30555</v>
      </c>
      <c r="D263" s="67">
        <f t="shared" si="26"/>
        <v>23510</v>
      </c>
      <c r="E263" s="67"/>
      <c r="F263" s="67"/>
      <c r="G263" s="67"/>
      <c r="H263" s="216">
        <f>'4.pielikums'!B226</f>
        <v>54065</v>
      </c>
      <c r="I263" s="56"/>
    </row>
    <row r="264" spans="1:9" ht="45" customHeight="1">
      <c r="A264" s="50"/>
      <c r="B264" s="190" t="s">
        <v>733</v>
      </c>
      <c r="C264" s="123">
        <v>476</v>
      </c>
      <c r="D264" s="67">
        <f t="shared" si="26"/>
        <v>0</v>
      </c>
      <c r="E264" s="67"/>
      <c r="F264" s="67"/>
      <c r="G264" s="67"/>
      <c r="H264" s="216">
        <f>'4.pielikums'!B225</f>
        <v>476</v>
      </c>
      <c r="I264" s="56"/>
    </row>
    <row r="265" spans="1:9" ht="24.75" customHeight="1">
      <c r="A265" s="50"/>
      <c r="B265" s="185" t="s">
        <v>619</v>
      </c>
      <c r="C265" s="123">
        <v>1448.92</v>
      </c>
      <c r="D265" s="67">
        <f t="shared" si="26"/>
        <v>0.07999999999992724</v>
      </c>
      <c r="E265" s="67"/>
      <c r="F265" s="67"/>
      <c r="G265" s="67"/>
      <c r="H265" s="216">
        <f>'4.pielikums'!B259</f>
        <v>1449</v>
      </c>
      <c r="I265" s="56"/>
    </row>
    <row r="266" spans="1:9" ht="51.75" customHeight="1">
      <c r="A266" s="50"/>
      <c r="B266" s="185" t="s">
        <v>734</v>
      </c>
      <c r="C266" s="123">
        <v>1275.5899999999999</v>
      </c>
      <c r="D266" s="67">
        <f t="shared" si="26"/>
        <v>700.41000000000008</v>
      </c>
      <c r="E266" s="67"/>
      <c r="F266" s="67"/>
      <c r="G266" s="67"/>
      <c r="H266" s="216">
        <f>'4.pielikums'!B260</f>
        <v>1976</v>
      </c>
      <c r="I266" s="56"/>
    </row>
    <row r="267" spans="1:9" ht="45.75" customHeight="1">
      <c r="A267" s="50"/>
      <c r="B267" s="185" t="s">
        <v>658</v>
      </c>
      <c r="C267" s="123">
        <v>532</v>
      </c>
      <c r="D267" s="67">
        <f t="shared" si="26"/>
        <v>3927</v>
      </c>
      <c r="E267" s="67"/>
      <c r="F267" s="67"/>
      <c r="G267" s="67"/>
      <c r="H267" s="216">
        <f>'4.pielikums'!B261</f>
        <v>4459</v>
      </c>
      <c r="I267" s="56"/>
    </row>
    <row r="268" spans="1:9" ht="35.25" customHeight="1">
      <c r="A268" s="50"/>
      <c r="B268" s="185" t="s">
        <v>651</v>
      </c>
      <c r="C268" s="123"/>
      <c r="D268" s="67">
        <f t="shared" si="26"/>
        <v>0</v>
      </c>
      <c r="E268" s="67"/>
      <c r="F268" s="67">
        <v>376000</v>
      </c>
      <c r="G268" s="67">
        <v>190180</v>
      </c>
      <c r="H268" s="216">
        <f>'4.pielikums'!B269</f>
        <v>566180</v>
      </c>
      <c r="I268" s="56"/>
    </row>
    <row r="269" spans="1:9" ht="38.25" customHeight="1">
      <c r="A269" s="50"/>
      <c r="B269" s="185" t="s">
        <v>727</v>
      </c>
      <c r="C269" s="123">
        <v>14190</v>
      </c>
      <c r="D269" s="67">
        <f t="shared" si="26"/>
        <v>5952</v>
      </c>
      <c r="E269" s="67"/>
      <c r="F269" s="67"/>
      <c r="G269" s="67"/>
      <c r="H269" s="216">
        <f>'4.pielikums'!B266</f>
        <v>20142</v>
      </c>
      <c r="I269" s="56"/>
    </row>
    <row r="270" spans="1:9" ht="45.75" customHeight="1">
      <c r="A270" s="50"/>
      <c r="B270" s="185" t="s">
        <v>656</v>
      </c>
      <c r="C270" s="123">
        <v>5561</v>
      </c>
      <c r="D270" s="67">
        <f t="shared" si="26"/>
        <v>1948</v>
      </c>
      <c r="E270" s="67"/>
      <c r="F270" s="67"/>
      <c r="G270" s="67"/>
      <c r="H270" s="216">
        <f>'4.pielikums'!B267</f>
        <v>7509</v>
      </c>
      <c r="I270" s="56"/>
    </row>
    <row r="271" spans="1:9" ht="36.75" customHeight="1">
      <c r="A271" s="50"/>
      <c r="B271" s="185" t="s">
        <v>657</v>
      </c>
      <c r="C271" s="123">
        <v>10481</v>
      </c>
      <c r="D271" s="67">
        <f t="shared" si="26"/>
        <v>0</v>
      </c>
      <c r="E271" s="67"/>
      <c r="F271" s="67"/>
      <c r="G271" s="67"/>
      <c r="H271" s="216">
        <f>'4.pielikums'!B268</f>
        <v>10481</v>
      </c>
      <c r="I271" s="56"/>
    </row>
    <row r="272" spans="1:9" ht="36.75" customHeight="1">
      <c r="A272" s="50"/>
      <c r="B272" s="185" t="s">
        <v>720</v>
      </c>
      <c r="C272" s="123">
        <v>8017</v>
      </c>
      <c r="D272" s="67">
        <f t="shared" si="26"/>
        <v>0</v>
      </c>
      <c r="E272" s="67"/>
      <c r="F272" s="67"/>
      <c r="G272" s="67"/>
      <c r="H272" s="216">
        <f>'4.pielikums'!B227</f>
        <v>8017</v>
      </c>
      <c r="I272" s="56"/>
    </row>
    <row r="273" spans="1:9" ht="94.5" customHeight="1">
      <c r="A273" s="50"/>
      <c r="B273" s="185" t="s">
        <v>723</v>
      </c>
      <c r="C273" s="123"/>
      <c r="D273" s="67">
        <f t="shared" si="26"/>
        <v>45600</v>
      </c>
      <c r="E273" s="67"/>
      <c r="F273" s="67"/>
      <c r="G273" s="67"/>
      <c r="H273" s="216">
        <f>'4.pielikums'!B228</f>
        <v>45600</v>
      </c>
      <c r="I273" s="56"/>
    </row>
    <row r="274" spans="1:9" ht="32.25" customHeight="1">
      <c r="A274" s="50"/>
      <c r="B274" s="185" t="s">
        <v>728</v>
      </c>
      <c r="C274" s="123">
        <v>498</v>
      </c>
      <c r="D274" s="67">
        <f t="shared" si="26"/>
        <v>0</v>
      </c>
      <c r="E274" s="67"/>
      <c r="F274" s="67"/>
      <c r="G274" s="67"/>
      <c r="H274" s="216">
        <f>'4.pielikums'!B265</f>
        <v>498</v>
      </c>
      <c r="I274" s="56"/>
    </row>
    <row r="275" spans="1:9" ht="15" customHeight="1">
      <c r="A275" s="14" t="s">
        <v>246</v>
      </c>
      <c r="B275" s="71" t="s">
        <v>247</v>
      </c>
      <c r="C275" s="91">
        <f>C276+C277</f>
        <v>10786</v>
      </c>
      <c r="D275" s="91">
        <f>H275-E275-G275-F275-C275</f>
        <v>3241229</v>
      </c>
      <c r="E275" s="91">
        <f>E276+E277</f>
        <v>2209992</v>
      </c>
      <c r="F275" s="91">
        <f>F276+F277</f>
        <v>1097104</v>
      </c>
      <c r="G275" s="91">
        <f>G276+G277</f>
        <v>0</v>
      </c>
      <c r="H275" s="216">
        <f>H276+H277</f>
        <v>6559111</v>
      </c>
      <c r="I275" s="56"/>
    </row>
    <row r="276" spans="1:9" ht="15" customHeight="1">
      <c r="A276" s="14"/>
      <c r="B276" s="70" t="s">
        <v>38</v>
      </c>
      <c r="C276" s="165"/>
      <c r="D276" s="67">
        <f t="shared" si="21"/>
        <v>242064</v>
      </c>
      <c r="E276" s="67">
        <v>9000</v>
      </c>
      <c r="F276" s="67"/>
      <c r="G276" s="67"/>
      <c r="H276" s="216">
        <f>'4.pielikums'!B230</f>
        <v>251064</v>
      </c>
      <c r="I276" s="56"/>
    </row>
    <row r="277" spans="1:9" ht="30" customHeight="1">
      <c r="A277" s="53"/>
      <c r="B277" s="162" t="s">
        <v>248</v>
      </c>
      <c r="C277" s="91">
        <f>SUM(C278:C292)</f>
        <v>10786</v>
      </c>
      <c r="D277" s="91">
        <f>H277-E277-G277-F277-C277</f>
        <v>2999165</v>
      </c>
      <c r="E277" s="91">
        <f>SUM(E278:E292)</f>
        <v>2200992</v>
      </c>
      <c r="F277" s="91">
        <f>SUM(F278:F292)</f>
        <v>1097104</v>
      </c>
      <c r="G277" s="91">
        <f>SUM(G278:G292)</f>
        <v>0</v>
      </c>
      <c r="H277" s="216">
        <f>SUM(H278:H292)</f>
        <v>6308047</v>
      </c>
      <c r="I277" s="56"/>
    </row>
    <row r="278" spans="1:9" ht="15" customHeight="1">
      <c r="A278" s="14"/>
      <c r="B278" s="70" t="s">
        <v>124</v>
      </c>
      <c r="C278" s="165"/>
      <c r="D278" s="67">
        <f>H278-E278-G278-F278-C278</f>
        <v>699237</v>
      </c>
      <c r="E278" s="67">
        <v>1477</v>
      </c>
      <c r="F278" s="67"/>
      <c r="G278" s="67"/>
      <c r="H278" s="216">
        <f>'4.pielikums'!B231</f>
        <v>700714</v>
      </c>
      <c r="I278" s="56"/>
    </row>
    <row r="279" spans="1:9" ht="15" customHeight="1">
      <c r="A279" s="14"/>
      <c r="B279" s="70" t="s">
        <v>173</v>
      </c>
      <c r="C279" s="165"/>
      <c r="D279" s="67">
        <f t="shared" si="21"/>
        <v>1026017</v>
      </c>
      <c r="E279" s="67"/>
      <c r="F279" s="67">
        <v>277030</v>
      </c>
      <c r="G279" s="67"/>
      <c r="H279" s="216">
        <f>'4.pielikums'!B232</f>
        <v>1303047</v>
      </c>
      <c r="I279" s="56"/>
    </row>
    <row r="280" spans="1:9" ht="15" customHeight="1">
      <c r="A280" s="14"/>
      <c r="B280" s="70" t="s">
        <v>120</v>
      </c>
      <c r="C280" s="165"/>
      <c r="D280" s="67">
        <f t="shared" si="27" ref="D280:D289">H280-E280-G280-F280-C280</f>
        <v>19690</v>
      </c>
      <c r="E280" s="67"/>
      <c r="F280" s="67"/>
      <c r="G280" s="67"/>
      <c r="H280" s="216">
        <f>'4.pielikums'!B233</f>
        <v>19690</v>
      </c>
      <c r="I280" s="56"/>
    </row>
    <row r="281" spans="1:9" ht="15" customHeight="1">
      <c r="A281" s="14"/>
      <c r="B281" s="70" t="s">
        <v>39</v>
      </c>
      <c r="C281" s="165"/>
      <c r="D281" s="67">
        <f>H281-E281-G281-F281-C281</f>
        <v>13460</v>
      </c>
      <c r="E281" s="67">
        <v>8689</v>
      </c>
      <c r="F281" s="67"/>
      <c r="G281" s="67"/>
      <c r="H281" s="216">
        <f>'4.pielikums'!B234</f>
        <v>22149</v>
      </c>
      <c r="I281" s="56"/>
    </row>
    <row r="282" spans="1:9" ht="15" customHeight="1">
      <c r="A282" s="14"/>
      <c r="B282" s="70" t="s">
        <v>49</v>
      </c>
      <c r="C282" s="165"/>
      <c r="D282" s="67">
        <f t="shared" si="27"/>
        <v>236991</v>
      </c>
      <c r="E282" s="67">
        <v>1300</v>
      </c>
      <c r="F282" s="67">
        <v>85375</v>
      </c>
      <c r="G282" s="67"/>
      <c r="H282" s="216">
        <f>'4.pielikums'!B235</f>
        <v>323666</v>
      </c>
      <c r="I282" s="56"/>
    </row>
    <row r="283" spans="1:9" ht="15" customHeight="1">
      <c r="A283" s="48"/>
      <c r="B283" s="70" t="s">
        <v>37</v>
      </c>
      <c r="C283" s="165"/>
      <c r="D283" s="67">
        <f t="shared" si="27"/>
        <v>241932</v>
      </c>
      <c r="E283" s="67">
        <v>1547144</v>
      </c>
      <c r="F283" s="67">
        <v>28728</v>
      </c>
      <c r="G283" s="67"/>
      <c r="H283" s="216">
        <f>'4.pielikums'!B236</f>
        <v>1817804</v>
      </c>
      <c r="I283" s="56"/>
    </row>
    <row r="284" spans="1:9" ht="15" customHeight="1">
      <c r="A284" s="48"/>
      <c r="B284" s="69" t="s">
        <v>79</v>
      </c>
      <c r="C284" s="164"/>
      <c r="D284" s="67">
        <f t="shared" si="27"/>
        <v>93824</v>
      </c>
      <c r="E284" s="67">
        <v>244817</v>
      </c>
      <c r="F284" s="67">
        <v>9576</v>
      </c>
      <c r="G284" s="67"/>
      <c r="H284" s="216">
        <f>'4.pielikums'!B237</f>
        <v>348217</v>
      </c>
      <c r="I284" s="56"/>
    </row>
    <row r="285" spans="1:9" ht="15" customHeight="1">
      <c r="A285" s="48"/>
      <c r="B285" s="78" t="s">
        <v>81</v>
      </c>
      <c r="C285" s="164"/>
      <c r="D285" s="67">
        <f t="shared" si="27"/>
        <v>74717</v>
      </c>
      <c r="E285" s="67">
        <v>155098</v>
      </c>
      <c r="F285" s="68"/>
      <c r="G285" s="67"/>
      <c r="H285" s="216">
        <f>'4.pielikums'!B238</f>
        <v>229815</v>
      </c>
      <c r="I285" s="56"/>
    </row>
    <row r="286" spans="1:9" ht="15" customHeight="1">
      <c r="A286" s="48"/>
      <c r="B286" s="78" t="s">
        <v>80</v>
      </c>
      <c r="C286" s="164"/>
      <c r="D286" s="67">
        <f t="shared" si="27"/>
        <v>140855</v>
      </c>
      <c r="E286" s="67">
        <v>203456</v>
      </c>
      <c r="F286" s="67"/>
      <c r="G286" s="67"/>
      <c r="H286" s="216">
        <f>'4.pielikums'!B239</f>
        <v>344311</v>
      </c>
      <c r="I286" s="56"/>
    </row>
    <row r="287" spans="1:9" ht="30" customHeight="1">
      <c r="A287" s="48"/>
      <c r="B287" s="113" t="s">
        <v>67</v>
      </c>
      <c r="C287" s="164"/>
      <c r="D287" s="67">
        <f t="shared" si="27"/>
        <v>242589</v>
      </c>
      <c r="E287" s="67">
        <v>22666</v>
      </c>
      <c r="F287" s="68"/>
      <c r="G287" s="67"/>
      <c r="H287" s="216">
        <f>'4.pielikums'!B240</f>
        <v>265255</v>
      </c>
      <c r="I287" s="56"/>
    </row>
    <row r="288" spans="1:9" ht="30" customHeight="1">
      <c r="A288" s="48"/>
      <c r="B288" s="77" t="s">
        <v>125</v>
      </c>
      <c r="C288" s="164"/>
      <c r="D288" s="67">
        <f t="shared" si="27"/>
        <v>82926</v>
      </c>
      <c r="E288" s="67"/>
      <c r="F288" s="68"/>
      <c r="G288" s="67"/>
      <c r="H288" s="216">
        <f>'4.pielikums'!B241</f>
        <v>82926</v>
      </c>
      <c r="I288" s="56"/>
    </row>
    <row r="289" spans="1:9" ht="30" customHeight="1">
      <c r="A289" s="48"/>
      <c r="B289" s="76" t="s">
        <v>126</v>
      </c>
      <c r="C289" s="164"/>
      <c r="D289" s="67">
        <f t="shared" si="27"/>
        <v>123747</v>
      </c>
      <c r="E289" s="67">
        <v>16345</v>
      </c>
      <c r="F289" s="68"/>
      <c r="G289" s="67"/>
      <c r="H289" s="216">
        <f>'4.pielikums'!B242</f>
        <v>140092</v>
      </c>
      <c r="I289" s="56"/>
    </row>
    <row r="290" spans="1:9" ht="30" customHeight="1">
      <c r="A290" s="48"/>
      <c r="B290" s="113" t="s">
        <v>250</v>
      </c>
      <c r="C290" s="164"/>
      <c r="D290" s="67">
        <f>H290-E290-G290-F290-C290</f>
        <v>0</v>
      </c>
      <c r="E290" s="67"/>
      <c r="F290" s="67">
        <v>685761</v>
      </c>
      <c r="G290" s="67"/>
      <c r="H290" s="216">
        <f>'4.pielikums'!B243</f>
        <v>685761</v>
      </c>
      <c r="I290" s="56"/>
    </row>
    <row r="291" spans="1:9" ht="30" customHeight="1">
      <c r="A291" s="48"/>
      <c r="B291" s="69" t="s">
        <v>45</v>
      </c>
      <c r="C291" s="164">
        <v>10786</v>
      </c>
      <c r="D291" s="67">
        <f>H291-E291-G291-F291-C291</f>
        <v>0</v>
      </c>
      <c r="E291" s="67"/>
      <c r="F291" s="67">
        <v>10634</v>
      </c>
      <c r="G291" s="67"/>
      <c r="H291" s="216">
        <f>'4.pielikums'!B244</f>
        <v>21420</v>
      </c>
      <c r="I291" s="56"/>
    </row>
    <row r="292" spans="1:9" ht="30" customHeight="1">
      <c r="A292" s="48"/>
      <c r="B292" s="161" t="s">
        <v>249</v>
      </c>
      <c r="C292" s="164"/>
      <c r="D292" s="67">
        <f>H292-E292-G292-F292-C292</f>
        <v>3180</v>
      </c>
      <c r="E292" s="67"/>
      <c r="F292" s="67"/>
      <c r="G292" s="67"/>
      <c r="H292" s="216">
        <f>'4.pielikums'!B245+'4.pielikums'!B246+'4.pielikums'!B247+'4.pielikums'!B248+'4.pielikums'!B249+'4.pielikums'!B250</f>
        <v>3180</v>
      </c>
      <c r="I292" s="56"/>
    </row>
    <row r="293" spans="2:9" ht="15.75">
      <c r="B293" s="111"/>
      <c r="C293" s="88"/>
      <c r="H293" s="124"/>
      <c r="I293" s="56"/>
    </row>
    <row r="294" spans="2:8" ht="18.75">
      <c r="B294" s="84" t="s">
        <v>251</v>
      </c>
      <c r="C294" s="88"/>
      <c r="H294"/>
    </row>
    <row r="295" spans="2:8" ht="15.75">
      <c r="B295" s="83"/>
      <c r="C295" s="88"/>
      <c r="H295"/>
    </row>
    <row r="296" spans="8:8" ht="15.75">
      <c r="H296"/>
    </row>
    <row r="297" spans="8:8" ht="15.75">
      <c r="H297"/>
    </row>
    <row r="298" spans="8:8" ht="15.75">
      <c r="H298"/>
    </row>
    <row r="299" spans="8:8" ht="15.75">
      <c r="H299"/>
    </row>
    <row r="300" spans="8:8" ht="15.75">
      <c r="H300"/>
    </row>
    <row r="301" spans="8:8" ht="15.75">
      <c r="H301"/>
    </row>
    <row r="302" spans="8:8" ht="15.75">
      <c r="H302"/>
    </row>
    <row r="303" spans="8:8" ht="15.75">
      <c r="H303"/>
    </row>
    <row r="304" spans="8:8" ht="15.75">
      <c r="H304"/>
    </row>
    <row r="305" spans="8:8" ht="15.75">
      <c r="H305"/>
    </row>
    <row r="306" spans="8:8" ht="15.75">
      <c r="H306"/>
    </row>
    <row r="307" spans="8:8" ht="15.75">
      <c r="H307"/>
    </row>
    <row r="308" spans="8:8" ht="15.75">
      <c r="H308"/>
    </row>
    <row r="309" spans="8:8" ht="15.75">
      <c r="H309"/>
    </row>
    <row r="310" spans="8:8" ht="15.75">
      <c r="H310"/>
    </row>
    <row r="311" spans="8:8" ht="15.75">
      <c r="H311"/>
    </row>
    <row r="312" spans="8:8" ht="15.75">
      <c r="H312"/>
    </row>
    <row r="313" spans="8:8" ht="15.75">
      <c r="H313"/>
    </row>
    <row r="314" spans="8:8" ht="15.75">
      <c r="H314"/>
    </row>
  </sheetData>
  <mergeCells count="3">
    <mergeCell ref="H9:H10"/>
    <mergeCell ref="B9:B10"/>
    <mergeCell ref="A9:A10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87"/>
  <sheetViews>
    <sheetView tabSelected="1" zoomScale="98" zoomScaleNormal="98" workbookViewId="0" topLeftCell="A1">
      <pane xSplit="1" ySplit="12" topLeftCell="B115" activePane="bottomRight" state="frozen"/>
      <selection pane="topLeft" activeCell="A1" sqref="A1"/>
      <selection pane="bottomLeft" activeCell="A13" sqref="A13"/>
      <selection pane="topRight" activeCell="B1" sqref="B1"/>
      <selection pane="bottomRight" activeCell="H119" sqref="H119"/>
    </sheetView>
  </sheetViews>
  <sheetFormatPr defaultColWidth="9.14428571428571" defaultRowHeight="15"/>
  <cols>
    <col min="1" max="1" width="44" style="83" customWidth="1"/>
    <col min="2" max="2" width="14.5714285714286" style="83" customWidth="1"/>
    <col min="3" max="3" width="15.8571428571429" style="49" customWidth="1"/>
    <col min="4" max="4" width="13.1428571428571" style="49" customWidth="1"/>
    <col min="5" max="5" width="13" style="49" customWidth="1"/>
    <col min="6" max="6" width="13.7142857142857" style="49" customWidth="1"/>
    <col min="7" max="7" width="10.7142857142857" style="83" customWidth="1"/>
    <col min="8" max="8" width="11.8571428571429" style="83" customWidth="1"/>
    <col min="9" max="9" width="11.4285714285714" style="83" customWidth="1"/>
    <col min="10" max="10" width="10.5714285714286" style="83" customWidth="1"/>
    <col min="11" max="11" width="9.42857142857143" style="83" customWidth="1"/>
    <col min="12" max="12" width="15.7142857142857" style="83" customWidth="1"/>
    <col min="13" max="13" width="13.5714285714286" style="83" customWidth="1"/>
    <col min="14" max="14" width="14.2857142857143" style="83" customWidth="1"/>
    <col min="15" max="15" width="14" style="83" customWidth="1"/>
    <col min="16" max="16" width="12.1428571428571" style="83" customWidth="1"/>
    <col min="17" max="17" width="11.2857142857143" style="49" bestFit="1" customWidth="1"/>
    <col min="18" max="18" width="10.1428571428571" style="49" bestFit="1" customWidth="1"/>
    <col min="19" max="16384" width="9.14285714285714" style="49"/>
  </cols>
  <sheetData>
    <row r="1" spans="1:16" ht="15.75">
      <c r="A1" s="5"/>
      <c r="B1" s="5"/>
      <c r="C1" s="5"/>
      <c r="D1" s="5"/>
      <c r="E1" s="5"/>
      <c r="F1" s="4"/>
      <c r="G1" s="127"/>
      <c r="H1" s="127"/>
      <c r="I1" s="127"/>
      <c r="J1" s="127"/>
      <c r="K1" s="127"/>
      <c r="L1" s="127"/>
      <c r="M1" s="128"/>
      <c r="N1" s="127"/>
      <c r="O1" s="127"/>
      <c r="P1" s="127"/>
    </row>
    <row r="2" spans="1:16" ht="15.75" customHeight="1">
      <c r="A2" s="5"/>
      <c r="B2" s="5"/>
      <c r="C2" s="5"/>
      <c r="D2" s="5"/>
      <c r="E2" s="5"/>
      <c r="F2" s="4"/>
      <c r="G2" s="127"/>
      <c r="H2" s="127"/>
      <c r="I2" s="127"/>
      <c r="J2" s="127"/>
      <c r="K2" s="127"/>
      <c r="L2" s="127"/>
      <c r="M2" s="128"/>
      <c r="N2" s="127"/>
      <c r="O2" s="127"/>
      <c r="P2" s="129" t="s">
        <v>113</v>
      </c>
    </row>
    <row r="3" spans="1:16" ht="16.5" customHeight="1">
      <c r="A3" s="5"/>
      <c r="B3" s="5"/>
      <c r="C3" s="5"/>
      <c r="D3" s="5"/>
      <c r="E3" s="5"/>
      <c r="F3" s="4"/>
      <c r="G3" s="127"/>
      <c r="H3" s="127"/>
      <c r="I3" s="127"/>
      <c r="J3" s="127"/>
      <c r="K3" s="127"/>
      <c r="L3" s="127"/>
      <c r="M3" s="128"/>
      <c r="N3" s="127"/>
      <c r="O3" s="127"/>
      <c r="P3" s="127" t="s">
        <v>616</v>
      </c>
    </row>
    <row r="4" spans="1:16" ht="15" customHeight="1">
      <c r="A4" s="5"/>
      <c r="B4" s="5"/>
      <c r="C4" s="5"/>
      <c r="D4" s="5"/>
      <c r="E4" s="5"/>
      <c r="F4" s="4"/>
      <c r="G4" s="127"/>
      <c r="H4" s="127"/>
      <c r="I4" s="127"/>
      <c r="J4" s="127"/>
      <c r="K4" s="127"/>
      <c r="L4" s="127"/>
      <c r="M4" s="128"/>
      <c r="N4" s="127"/>
      <c r="O4" s="127"/>
      <c r="P4" s="127" t="s">
        <v>764</v>
      </c>
    </row>
    <row r="5" spans="1:16" ht="15" customHeight="1">
      <c r="A5" s="5"/>
      <c r="B5" s="5"/>
      <c r="C5" s="5"/>
      <c r="D5" s="5"/>
      <c r="E5" s="5"/>
      <c r="F5" s="4"/>
      <c r="G5" s="127"/>
      <c r="H5" s="127"/>
      <c r="I5" s="127"/>
      <c r="J5" s="127"/>
      <c r="K5" s="127"/>
      <c r="L5" s="127"/>
      <c r="M5" s="128"/>
      <c r="N5" s="127"/>
      <c r="O5" s="127"/>
      <c r="P5" s="127" t="s">
        <v>627</v>
      </c>
    </row>
    <row r="6" spans="1:16" ht="15" customHeight="1">
      <c r="A6" s="5"/>
      <c r="B6" s="5"/>
      <c r="C6" s="5"/>
      <c r="D6" s="5"/>
      <c r="E6" s="5"/>
      <c r="F6" s="4"/>
      <c r="G6" s="127"/>
      <c r="H6" s="127"/>
      <c r="I6" s="127"/>
      <c r="J6" s="127"/>
      <c r="K6" s="127"/>
      <c r="L6" s="127"/>
      <c r="M6" s="128"/>
      <c r="N6" s="127"/>
      <c r="O6" s="127"/>
      <c r="P6" s="127"/>
    </row>
    <row r="7" spans="1:16" ht="15" customHeight="1">
      <c r="A7" s="5"/>
      <c r="B7" s="5"/>
      <c r="C7" s="5"/>
      <c r="D7" s="5"/>
      <c r="E7" s="5"/>
      <c r="F7" s="4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15" customHeight="1">
      <c r="A8" s="5"/>
      <c r="B8" s="130" t="s">
        <v>638</v>
      </c>
      <c r="C8" s="194"/>
      <c r="D8" s="194"/>
      <c r="E8" s="194"/>
      <c r="F8" s="194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6" ht="15" customHeight="1">
      <c r="A9" s="2"/>
      <c r="C9" s="3"/>
      <c r="D9" s="3"/>
      <c r="E9" s="3"/>
      <c r="F9" s="3"/>
    </row>
    <row r="10" spans="1:16" s="57" customFormat="1" ht="15" customHeight="1">
      <c r="A10" s="10" t="s">
        <v>0</v>
      </c>
      <c r="B10" s="11" t="s">
        <v>630</v>
      </c>
      <c r="C10" s="1" t="s">
        <v>74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s="57" customFormat="1" ht="15" customHeight="1">
      <c r="A11" s="10"/>
      <c r="B11" s="11"/>
      <c r="C11" s="60">
        <v>1000</v>
      </c>
      <c r="D11" s="60">
        <v>1100</v>
      </c>
      <c r="E11" s="60">
        <v>1200</v>
      </c>
      <c r="F11" s="60">
        <v>2000</v>
      </c>
      <c r="G11" s="131">
        <v>2100</v>
      </c>
      <c r="H11" s="131">
        <v>2200</v>
      </c>
      <c r="I11" s="131">
        <v>2300</v>
      </c>
      <c r="J11" s="131">
        <v>2400</v>
      </c>
      <c r="K11" s="131">
        <v>2500</v>
      </c>
      <c r="L11" s="131">
        <v>3000</v>
      </c>
      <c r="M11" s="131">
        <v>4000</v>
      </c>
      <c r="N11" s="131">
        <v>5000</v>
      </c>
      <c r="O11" s="132">
        <v>6000</v>
      </c>
      <c r="P11" s="132">
        <v>7000</v>
      </c>
    </row>
    <row r="12" spans="1:16" s="57" customFormat="1" ht="129" customHeight="1">
      <c r="A12" s="10"/>
      <c r="B12" s="11"/>
      <c r="C12" s="195" t="s">
        <v>511</v>
      </c>
      <c r="D12" s="196" t="s">
        <v>567</v>
      </c>
      <c r="E12" s="196" t="s">
        <v>568</v>
      </c>
      <c r="F12" s="196" t="s">
        <v>70</v>
      </c>
      <c r="G12" s="132" t="s">
        <v>174</v>
      </c>
      <c r="H12" s="132" t="s">
        <v>175</v>
      </c>
      <c r="I12" s="132" t="s">
        <v>176</v>
      </c>
      <c r="J12" s="132" t="s">
        <v>566</v>
      </c>
      <c r="K12" s="132" t="s">
        <v>177</v>
      </c>
      <c r="L12" s="132" t="s">
        <v>71</v>
      </c>
      <c r="M12" s="132" t="s">
        <v>72</v>
      </c>
      <c r="N12" s="132" t="s">
        <v>73</v>
      </c>
      <c r="O12" s="132" t="s">
        <v>68</v>
      </c>
      <c r="P12" s="132" t="s">
        <v>69</v>
      </c>
    </row>
    <row r="13" spans="1:16" ht="24.75" customHeight="1">
      <c r="A13" s="94" t="s">
        <v>1</v>
      </c>
      <c r="B13" s="93">
        <f t="shared" si="0" ref="B13:B76">SUM(C13+F13,L13:P13)</f>
        <v>1531209</v>
      </c>
      <c r="C13" s="188">
        <f>D13+E13</f>
        <v>1293791</v>
      </c>
      <c r="D13" s="188">
        <v>1043875</v>
      </c>
      <c r="E13" s="188">
        <v>249916</v>
      </c>
      <c r="F13" s="188">
        <f>SUM(G13:K13)</f>
        <v>235668</v>
      </c>
      <c r="G13" s="133">
        <v>1480</v>
      </c>
      <c r="H13" s="133">
        <f>196218+10000</f>
        <v>206218</v>
      </c>
      <c r="I13" s="133">
        <v>25970</v>
      </c>
      <c r="J13" s="133"/>
      <c r="K13" s="133">
        <v>2000</v>
      </c>
      <c r="L13" s="133"/>
      <c r="M13" s="133"/>
      <c r="N13" s="133">
        <v>0</v>
      </c>
      <c r="O13" s="133"/>
      <c r="P13" s="133">
        <v>1750</v>
      </c>
    </row>
    <row r="14" spans="1:16" ht="22.15" customHeight="1">
      <c r="A14" s="94" t="s">
        <v>2</v>
      </c>
      <c r="B14" s="93">
        <f t="shared" si="0"/>
        <v>127701</v>
      </c>
      <c r="C14" s="188">
        <f t="shared" si="1" ref="C14:C19">D14+E14</f>
        <v>127701</v>
      </c>
      <c r="D14" s="188">
        <v>103555</v>
      </c>
      <c r="E14" s="188">
        <v>24146</v>
      </c>
      <c r="F14" s="188">
        <f>SUM(G14:K14)</f>
        <v>0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</row>
    <row r="15" spans="1:16" ht="36.6" customHeight="1">
      <c r="A15" s="94" t="s">
        <v>119</v>
      </c>
      <c r="B15" s="93">
        <f t="shared" si="0"/>
        <v>236349</v>
      </c>
      <c r="C15" s="188">
        <f t="shared" si="1"/>
        <v>0</v>
      </c>
      <c r="D15" s="188"/>
      <c r="E15" s="188"/>
      <c r="F15" s="188">
        <f>SUM(G15:K15)</f>
        <v>0</v>
      </c>
      <c r="G15" s="133"/>
      <c r="H15" s="133"/>
      <c r="I15" s="133"/>
      <c r="J15" s="133"/>
      <c r="K15" s="133"/>
      <c r="L15" s="133"/>
      <c r="M15" s="133"/>
      <c r="N15" s="133"/>
      <c r="O15" s="133">
        <v>236349</v>
      </c>
      <c r="P15" s="133"/>
    </row>
    <row r="16" spans="1:16" ht="19.15" customHeight="1">
      <c r="A16" s="94" t="s">
        <v>150</v>
      </c>
      <c r="B16" s="93">
        <f t="shared" si="0"/>
        <v>26000</v>
      </c>
      <c r="C16" s="188">
        <f>D16+E16</f>
        <v>26000</v>
      </c>
      <c r="D16" s="188">
        <v>21037</v>
      </c>
      <c r="E16" s="188">
        <v>4963</v>
      </c>
      <c r="F16" s="188">
        <f>SUM(G16:K16)</f>
        <v>0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</row>
    <row r="17" spans="1:16" ht="36.75" customHeight="1">
      <c r="A17" s="94" t="s">
        <v>715</v>
      </c>
      <c r="B17" s="93">
        <f t="shared" si="0"/>
        <v>100000</v>
      </c>
      <c r="C17" s="188">
        <f>D17+E17</f>
        <v>100000</v>
      </c>
      <c r="D17" s="188"/>
      <c r="E17" s="188">
        <v>100000</v>
      </c>
      <c r="F17" s="188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8" spans="1:16" ht="18.6" customHeight="1">
      <c r="A18" s="122" t="s">
        <v>609</v>
      </c>
      <c r="B18" s="93">
        <f t="shared" si="0"/>
        <v>114734</v>
      </c>
      <c r="C18" s="188">
        <f>D18+E18</f>
        <v>106697</v>
      </c>
      <c r="D18" s="188">
        <v>86331</v>
      </c>
      <c r="E18" s="188">
        <v>20366</v>
      </c>
      <c r="F18" s="188">
        <f>SUM(G18:K18)</f>
        <v>8037</v>
      </c>
      <c r="G18" s="133"/>
      <c r="H18" s="133">
        <v>4000</v>
      </c>
      <c r="I18" s="133"/>
      <c r="J18" s="133">
        <v>4037</v>
      </c>
      <c r="K18" s="133"/>
      <c r="L18" s="133"/>
      <c r="M18" s="133"/>
      <c r="N18" s="133"/>
      <c r="O18" s="133"/>
      <c r="P18" s="133"/>
    </row>
    <row r="19" spans="1:16" ht="23.25" customHeight="1">
      <c r="A19" s="122" t="s">
        <v>644</v>
      </c>
      <c r="B19" s="93">
        <f t="shared" si="0"/>
        <v>136744</v>
      </c>
      <c r="C19" s="188">
        <f t="shared" si="1"/>
        <v>120693</v>
      </c>
      <c r="D19" s="188">
        <v>97656</v>
      </c>
      <c r="E19" s="188">
        <v>23037</v>
      </c>
      <c r="F19" s="188">
        <f>SUM(G19:K19)</f>
        <v>14781</v>
      </c>
      <c r="G19" s="133">
        <v>20</v>
      </c>
      <c r="H19" s="133">
        <f>2345+800+685</f>
        <v>3830</v>
      </c>
      <c r="I19" s="133">
        <f>3503+1166+3376+560+1867</f>
        <v>10472</v>
      </c>
      <c r="J19" s="133"/>
      <c r="K19" s="133">
        <f>144+115+200</f>
        <v>459</v>
      </c>
      <c r="L19" s="133"/>
      <c r="M19" s="133"/>
      <c r="N19" s="133">
        <v>1270</v>
      </c>
      <c r="O19" s="133"/>
      <c r="P19" s="133"/>
    </row>
    <row r="20" spans="1:16" ht="15" customHeight="1">
      <c r="A20" s="125" t="s">
        <v>645</v>
      </c>
      <c r="B20" s="93">
        <f t="shared" si="0"/>
        <v>110046</v>
      </c>
      <c r="C20" s="188">
        <f>D20+E20</f>
        <v>84269</v>
      </c>
      <c r="D20" s="188">
        <v>68184</v>
      </c>
      <c r="E20" s="188">
        <v>16085</v>
      </c>
      <c r="F20" s="188">
        <f t="shared" si="2" ref="F20:F30">SUM(G20:K20)</f>
        <v>25777</v>
      </c>
      <c r="G20" s="133"/>
      <c r="H20" s="133">
        <f>7144+792+850+1200</f>
        <v>9986</v>
      </c>
      <c r="I20" s="133">
        <f>9338+1267+1760+1797+1269</f>
        <v>15431</v>
      </c>
      <c r="J20" s="133"/>
      <c r="K20" s="133">
        <f>210+150</f>
        <v>360</v>
      </c>
      <c r="L20" s="133"/>
      <c r="M20" s="133"/>
      <c r="N20" s="133"/>
      <c r="O20" s="133"/>
      <c r="P20" s="133"/>
    </row>
    <row r="21" spans="1:16" ht="15" customHeight="1">
      <c r="A21" s="95" t="s">
        <v>646</v>
      </c>
      <c r="B21" s="93">
        <f t="shared" si="0"/>
        <v>93037</v>
      </c>
      <c r="C21" s="188">
        <f>D21++E21</f>
        <v>73832</v>
      </c>
      <c r="D21" s="188">
        <v>58888</v>
      </c>
      <c r="E21" s="188">
        <v>14944</v>
      </c>
      <c r="F21" s="188">
        <f t="shared" si="2"/>
        <v>19205</v>
      </c>
      <c r="G21" s="133">
        <v>40</v>
      </c>
      <c r="H21" s="133">
        <f>8820+600</f>
        <v>9420</v>
      </c>
      <c r="I21" s="133">
        <f>4150+1175+3190+920</f>
        <v>9435</v>
      </c>
      <c r="J21" s="133"/>
      <c r="K21" s="133">
        <f>110+200</f>
        <v>310</v>
      </c>
      <c r="L21" s="133"/>
      <c r="M21" s="133"/>
      <c r="N21" s="133"/>
      <c r="O21" s="133"/>
      <c r="P21" s="133"/>
    </row>
    <row r="22" spans="1:16" ht="18" customHeight="1">
      <c r="A22" s="95" t="s">
        <v>647</v>
      </c>
      <c r="B22" s="93">
        <f t="shared" si="0"/>
        <v>134355</v>
      </c>
      <c r="C22" s="188">
        <f t="shared" si="3" ref="C22:C30">D22+E22</f>
        <v>102820</v>
      </c>
      <c r="D22" s="188">
        <v>83194</v>
      </c>
      <c r="E22" s="188">
        <v>19626</v>
      </c>
      <c r="F22" s="188">
        <f t="shared" si="2"/>
        <v>31535</v>
      </c>
      <c r="G22" s="133"/>
      <c r="H22" s="133">
        <f>17236+650+513+447</f>
        <v>18846</v>
      </c>
      <c r="I22" s="133">
        <f>3320+1585+1520+3235+2160</f>
        <v>11820</v>
      </c>
      <c r="J22" s="133"/>
      <c r="K22" s="133">
        <f>165+220+274+210</f>
        <v>869</v>
      </c>
      <c r="L22" s="133"/>
      <c r="M22" s="133"/>
      <c r="N22" s="133"/>
      <c r="O22" s="133"/>
      <c r="P22" s="133"/>
    </row>
    <row r="23" spans="1:16" ht="36" customHeight="1">
      <c r="A23" s="95" t="s">
        <v>75</v>
      </c>
      <c r="B23" s="93">
        <f t="shared" si="0"/>
        <v>122684</v>
      </c>
      <c r="C23" s="188">
        <f t="shared" si="3"/>
        <v>80160</v>
      </c>
      <c r="D23" s="188">
        <v>64402</v>
      </c>
      <c r="E23" s="188">
        <v>15758</v>
      </c>
      <c r="F23" s="188">
        <f>SUM(G23:K23)</f>
        <v>11666</v>
      </c>
      <c r="G23" s="133">
        <v>50</v>
      </c>
      <c r="H23" s="133">
        <v>9366</v>
      </c>
      <c r="I23" s="133">
        <v>2250</v>
      </c>
      <c r="J23" s="133"/>
      <c r="K23" s="133"/>
      <c r="L23" s="133"/>
      <c r="M23" s="133"/>
      <c r="N23" s="133">
        <v>30858</v>
      </c>
      <c r="O23" s="133"/>
      <c r="P23" s="133"/>
    </row>
    <row r="24" spans="1:16" ht="24.75" customHeight="1">
      <c r="A24" s="95" t="s">
        <v>3</v>
      </c>
      <c r="B24" s="93">
        <f t="shared" si="0"/>
        <v>5000</v>
      </c>
      <c r="C24" s="188">
        <f t="shared" si="3"/>
        <v>0</v>
      </c>
      <c r="D24" s="188"/>
      <c r="E24" s="188"/>
      <c r="F24" s="188">
        <f t="shared" si="2"/>
        <v>5000</v>
      </c>
      <c r="G24" s="133"/>
      <c r="H24" s="133">
        <v>5000</v>
      </c>
      <c r="I24" s="133"/>
      <c r="J24" s="133"/>
      <c r="K24" s="133"/>
      <c r="L24" s="133"/>
      <c r="M24" s="133"/>
      <c r="N24" s="133"/>
      <c r="O24" s="133"/>
      <c r="P24" s="133"/>
    </row>
    <row r="25" spans="1:16" ht="21.75" customHeight="1">
      <c r="A25" s="95" t="s">
        <v>4</v>
      </c>
      <c r="B25" s="93">
        <f t="shared" si="0"/>
        <v>48584</v>
      </c>
      <c r="C25" s="188">
        <f t="shared" si="3"/>
        <v>0</v>
      </c>
      <c r="D25" s="188"/>
      <c r="E25" s="188"/>
      <c r="F25" s="188">
        <f t="shared" si="2"/>
        <v>48584</v>
      </c>
      <c r="G25" s="133"/>
      <c r="H25" s="133">
        <v>48584</v>
      </c>
      <c r="I25" s="133"/>
      <c r="J25" s="133"/>
      <c r="K25" s="133"/>
      <c r="L25" s="133"/>
      <c r="M25" s="133"/>
      <c r="N25" s="133"/>
      <c r="O25" s="133"/>
      <c r="P25" s="133"/>
    </row>
    <row r="26" spans="1:16" ht="30" customHeight="1">
      <c r="A26" s="95" t="s">
        <v>122</v>
      </c>
      <c r="B26" s="93">
        <f t="shared" si="0"/>
        <v>806479</v>
      </c>
      <c r="C26" s="188">
        <f t="shared" si="3"/>
        <v>0</v>
      </c>
      <c r="D26" s="188"/>
      <c r="E26" s="188"/>
      <c r="F26" s="188">
        <f t="shared" si="2"/>
        <v>20020</v>
      </c>
      <c r="G26" s="133"/>
      <c r="H26" s="133">
        <v>20020</v>
      </c>
      <c r="I26" s="133"/>
      <c r="J26" s="133"/>
      <c r="K26" s="133"/>
      <c r="L26" s="133"/>
      <c r="M26" s="133">
        <v>786459</v>
      </c>
      <c r="N26" s="133"/>
      <c r="O26" s="133"/>
      <c r="P26" s="133"/>
    </row>
    <row r="27" spans="1:16" ht="21.6" customHeight="1">
      <c r="A27" s="95" t="s">
        <v>5</v>
      </c>
      <c r="B27" s="93">
        <f t="shared" si="0"/>
        <v>84269</v>
      </c>
      <c r="C27" s="188">
        <f t="shared" si="3"/>
        <v>66249</v>
      </c>
      <c r="D27" s="188">
        <v>53604</v>
      </c>
      <c r="E27" s="188">
        <v>12645</v>
      </c>
      <c r="F27" s="188">
        <f t="shared" si="2"/>
        <v>18020</v>
      </c>
      <c r="G27" s="133">
        <v>140</v>
      </c>
      <c r="H27" s="133">
        <v>14455</v>
      </c>
      <c r="I27" s="133">
        <v>3425</v>
      </c>
      <c r="J27" s="133"/>
      <c r="K27" s="133"/>
      <c r="L27" s="133"/>
      <c r="M27" s="133"/>
      <c r="N27" s="133"/>
      <c r="O27" s="133"/>
      <c r="P27" s="133"/>
    </row>
    <row r="28" spans="1:16" ht="21.6" customHeight="1">
      <c r="A28" s="95" t="s">
        <v>6</v>
      </c>
      <c r="B28" s="93">
        <f t="shared" si="0"/>
        <v>246781</v>
      </c>
      <c r="C28" s="188">
        <f t="shared" si="3"/>
        <v>160805</v>
      </c>
      <c r="D28" s="188">
        <v>130112</v>
      </c>
      <c r="E28" s="188">
        <v>30693</v>
      </c>
      <c r="F28" s="188">
        <f t="shared" si="2"/>
        <v>19547</v>
      </c>
      <c r="G28" s="133">
        <v>130</v>
      </c>
      <c r="H28" s="133">
        <v>7892</v>
      </c>
      <c r="I28" s="133">
        <f>11865-400</f>
        <v>11465</v>
      </c>
      <c r="J28" s="133"/>
      <c r="K28" s="133">
        <v>60</v>
      </c>
      <c r="L28" s="133"/>
      <c r="M28" s="133"/>
      <c r="N28" s="133">
        <v>66429</v>
      </c>
      <c r="O28" s="133"/>
      <c r="P28" s="133"/>
    </row>
    <row r="29" spans="1:16" ht="22.5" customHeight="1">
      <c r="A29" s="94" t="s">
        <v>44</v>
      </c>
      <c r="B29" s="93">
        <f t="shared" si="0"/>
        <v>68569</v>
      </c>
      <c r="C29" s="188">
        <f t="shared" si="3"/>
        <v>65206</v>
      </c>
      <c r="D29" s="188">
        <v>52760</v>
      </c>
      <c r="E29" s="188">
        <v>12446</v>
      </c>
      <c r="F29" s="188">
        <f t="shared" si="2"/>
        <v>3363</v>
      </c>
      <c r="G29" s="133"/>
      <c r="H29" s="133">
        <v>2713</v>
      </c>
      <c r="I29" s="133">
        <v>650</v>
      </c>
      <c r="J29" s="133"/>
      <c r="K29" s="133"/>
      <c r="L29" s="133"/>
      <c r="M29" s="133"/>
      <c r="N29" s="133"/>
      <c r="O29" s="133"/>
      <c r="P29" s="133"/>
    </row>
    <row r="30" spans="1:16" ht="24" customHeight="1">
      <c r="A30" s="95" t="s">
        <v>7</v>
      </c>
      <c r="B30" s="93">
        <f t="shared" si="0"/>
        <v>59103</v>
      </c>
      <c r="C30" s="188">
        <f t="shared" si="3"/>
        <v>57398</v>
      </c>
      <c r="D30" s="188">
        <v>46316</v>
      </c>
      <c r="E30" s="188">
        <v>11082</v>
      </c>
      <c r="F30" s="188">
        <f t="shared" si="2"/>
        <v>1705</v>
      </c>
      <c r="G30" s="133">
        <v>150</v>
      </c>
      <c r="H30" s="133">
        <v>605</v>
      </c>
      <c r="I30" s="133">
        <v>950</v>
      </c>
      <c r="J30" s="133"/>
      <c r="K30" s="133"/>
      <c r="L30" s="133"/>
      <c r="M30" s="133"/>
      <c r="N30" s="133"/>
      <c r="O30" s="133"/>
      <c r="P30" s="133"/>
    </row>
    <row r="31" spans="1:16" ht="25.9" customHeight="1">
      <c r="A31" s="95" t="s">
        <v>8</v>
      </c>
      <c r="B31" s="93">
        <f t="shared" si="0"/>
        <v>100000</v>
      </c>
      <c r="C31" s="188">
        <f t="shared" si="4" ref="C31:C96">D31+E31</f>
        <v>0</v>
      </c>
      <c r="D31" s="188"/>
      <c r="E31" s="188"/>
      <c r="F31" s="188">
        <f>SUM(G31:K31)</f>
        <v>100000</v>
      </c>
      <c r="G31" s="133"/>
      <c r="H31" s="133"/>
      <c r="I31" s="133"/>
      <c r="J31" s="133"/>
      <c r="K31" s="133">
        <v>100000</v>
      </c>
      <c r="L31" s="133"/>
      <c r="M31" s="133"/>
      <c r="N31" s="133"/>
      <c r="O31" s="133"/>
      <c r="P31" s="133"/>
    </row>
    <row r="32" spans="1:16" ht="30" customHeight="1">
      <c r="A32" s="95" t="s">
        <v>46</v>
      </c>
      <c r="B32" s="93">
        <f t="shared" si="0"/>
        <v>3444</v>
      </c>
      <c r="C32" s="188">
        <f t="shared" si="4"/>
        <v>0</v>
      </c>
      <c r="D32" s="188"/>
      <c r="E32" s="188"/>
      <c r="F32" s="188">
        <f>SUM(G32:K32)</f>
        <v>3444</v>
      </c>
      <c r="G32" s="133"/>
      <c r="H32" s="133">
        <v>3444</v>
      </c>
      <c r="I32" s="133"/>
      <c r="J32" s="133"/>
      <c r="K32" s="133"/>
      <c r="L32" s="133"/>
      <c r="M32" s="133"/>
      <c r="N32" s="133"/>
      <c r="O32" s="133"/>
      <c r="P32" s="133"/>
    </row>
    <row r="33" spans="1:16" ht="30" customHeight="1">
      <c r="A33" s="95" t="s">
        <v>48</v>
      </c>
      <c r="B33" s="93">
        <f t="shared" si="0"/>
        <v>88627</v>
      </c>
      <c r="C33" s="188">
        <f t="shared" si="4"/>
        <v>57060</v>
      </c>
      <c r="D33" s="188">
        <v>46152</v>
      </c>
      <c r="E33" s="188">
        <f>10887+21</f>
        <v>10908</v>
      </c>
      <c r="F33" s="188">
        <f t="shared" si="5" ref="F33:F60">SUM(G33:K33)</f>
        <v>31567</v>
      </c>
      <c r="G33" s="133">
        <v>520</v>
      </c>
      <c r="H33" s="133">
        <v>27147</v>
      </c>
      <c r="I33" s="133">
        <v>3900</v>
      </c>
      <c r="J33" s="133"/>
      <c r="K33" s="133"/>
      <c r="L33" s="133"/>
      <c r="M33" s="133"/>
      <c r="N33" s="133"/>
      <c r="O33" s="133"/>
      <c r="P33" s="133"/>
    </row>
    <row r="34" spans="1:16" ht="25.5" customHeight="1">
      <c r="A34" s="95" t="s">
        <v>129</v>
      </c>
      <c r="B34" s="93">
        <f t="shared" si="0"/>
        <v>50000</v>
      </c>
      <c r="C34" s="188">
        <f t="shared" si="4"/>
        <v>0</v>
      </c>
      <c r="D34" s="188"/>
      <c r="E34" s="188"/>
      <c r="F34" s="188">
        <f t="shared" si="5"/>
        <v>0</v>
      </c>
      <c r="G34" s="133"/>
      <c r="H34" s="133"/>
      <c r="I34" s="133"/>
      <c r="J34" s="133"/>
      <c r="K34" s="133"/>
      <c r="L34" s="133">
        <v>50000</v>
      </c>
      <c r="M34" s="133"/>
      <c r="N34" s="133"/>
      <c r="O34" s="133"/>
      <c r="P34" s="133"/>
    </row>
    <row r="35" spans="1:16" ht="30" customHeight="1">
      <c r="A35" s="94" t="s">
        <v>51</v>
      </c>
      <c r="B35" s="93">
        <f t="shared" si="0"/>
        <v>122863</v>
      </c>
      <c r="C35" s="188">
        <f t="shared" si="4"/>
        <v>0</v>
      </c>
      <c r="D35" s="188"/>
      <c r="E35" s="188"/>
      <c r="F35" s="188">
        <f t="shared" si="5"/>
        <v>122863</v>
      </c>
      <c r="G35" s="133">
        <v>0</v>
      </c>
      <c r="H35" s="133">
        <f>102252+10381</f>
        <v>112633</v>
      </c>
      <c r="I35" s="133">
        <v>10230</v>
      </c>
      <c r="J35" s="133"/>
      <c r="K35" s="133"/>
      <c r="L35" s="133"/>
      <c r="M35" s="133"/>
      <c r="N35" s="133"/>
      <c r="O35" s="133"/>
      <c r="P35" s="133"/>
    </row>
    <row r="36" spans="1:16" ht="36.6" customHeight="1">
      <c r="A36" s="94" t="s">
        <v>159</v>
      </c>
      <c r="B36" s="93">
        <f t="shared" si="0"/>
        <v>80058</v>
      </c>
      <c r="C36" s="188">
        <f t="shared" si="4"/>
        <v>0</v>
      </c>
      <c r="D36" s="188"/>
      <c r="E36" s="188"/>
      <c r="F36" s="188">
        <f t="shared" si="5"/>
        <v>62058</v>
      </c>
      <c r="G36" s="133"/>
      <c r="H36" s="133">
        <f>33145+5008</f>
        <v>38153</v>
      </c>
      <c r="I36" s="133">
        <v>23905</v>
      </c>
      <c r="J36" s="133"/>
      <c r="K36" s="133"/>
      <c r="L36" s="133"/>
      <c r="M36" s="133"/>
      <c r="N36" s="133">
        <v>18000</v>
      </c>
      <c r="O36" s="133"/>
      <c r="P36" s="133"/>
    </row>
    <row r="37" spans="1:16" ht="30" customHeight="1">
      <c r="A37" s="94" t="s">
        <v>52</v>
      </c>
      <c r="B37" s="93">
        <f t="shared" si="0"/>
        <v>36493</v>
      </c>
      <c r="C37" s="188">
        <f t="shared" si="4"/>
        <v>0</v>
      </c>
      <c r="D37" s="188"/>
      <c r="E37" s="188"/>
      <c r="F37" s="188">
        <f t="shared" si="5"/>
        <v>36493</v>
      </c>
      <c r="G37" s="133"/>
      <c r="H37" s="133">
        <v>31793</v>
      </c>
      <c r="I37" s="133">
        <v>4700</v>
      </c>
      <c r="J37" s="133"/>
      <c r="K37" s="133"/>
      <c r="L37" s="133"/>
      <c r="M37" s="133"/>
      <c r="N37" s="133"/>
      <c r="O37" s="133"/>
      <c r="P37" s="133"/>
    </row>
    <row r="38" spans="1:16" ht="30" customHeight="1">
      <c r="A38" s="94" t="s">
        <v>53</v>
      </c>
      <c r="B38" s="93">
        <f t="shared" si="0"/>
        <v>22019</v>
      </c>
      <c r="C38" s="188">
        <f t="shared" si="4"/>
        <v>0</v>
      </c>
      <c r="D38" s="188"/>
      <c r="E38" s="188"/>
      <c r="F38" s="188">
        <f t="shared" si="5"/>
        <v>22019</v>
      </c>
      <c r="G38" s="133"/>
      <c r="H38" s="133">
        <v>20669</v>
      </c>
      <c r="I38" s="133">
        <v>1350</v>
      </c>
      <c r="J38" s="133"/>
      <c r="K38" s="133"/>
      <c r="L38" s="133"/>
      <c r="M38" s="133"/>
      <c r="N38" s="133"/>
      <c r="O38" s="133"/>
      <c r="P38" s="133"/>
    </row>
    <row r="39" spans="1:16" ht="33" customHeight="1">
      <c r="A39" s="94" t="s">
        <v>54</v>
      </c>
      <c r="B39" s="93">
        <f t="shared" si="0"/>
        <v>60467</v>
      </c>
      <c r="C39" s="188">
        <f t="shared" si="4"/>
        <v>0</v>
      </c>
      <c r="D39" s="188"/>
      <c r="E39" s="188"/>
      <c r="F39" s="188">
        <f>SUM(G39:K39)</f>
        <v>43300</v>
      </c>
      <c r="G39" s="133"/>
      <c r="H39" s="133">
        <v>40000</v>
      </c>
      <c r="I39" s="133">
        <v>3300</v>
      </c>
      <c r="J39" s="133"/>
      <c r="K39" s="133"/>
      <c r="L39" s="133"/>
      <c r="M39" s="133"/>
      <c r="N39" s="133">
        <v>17167</v>
      </c>
      <c r="O39" s="133"/>
      <c r="P39" s="133"/>
    </row>
    <row r="40" spans="1:16" ht="32.45" customHeight="1">
      <c r="A40" s="94" t="s">
        <v>55</v>
      </c>
      <c r="B40" s="93">
        <f t="shared" si="0"/>
        <v>45248</v>
      </c>
      <c r="C40" s="188">
        <f t="shared" si="4"/>
        <v>0</v>
      </c>
      <c r="D40" s="188"/>
      <c r="E40" s="188"/>
      <c r="F40" s="188">
        <f t="shared" si="5"/>
        <v>45248</v>
      </c>
      <c r="G40" s="133"/>
      <c r="H40" s="133">
        <v>44028</v>
      </c>
      <c r="I40" s="133">
        <v>1220</v>
      </c>
      <c r="J40" s="133"/>
      <c r="K40" s="133"/>
      <c r="L40" s="133"/>
      <c r="M40" s="133"/>
      <c r="N40" s="133"/>
      <c r="O40" s="133"/>
      <c r="P40" s="133"/>
    </row>
    <row r="41" spans="1:16" ht="33.6" customHeight="1">
      <c r="A41" s="94" t="s">
        <v>56</v>
      </c>
      <c r="B41" s="93">
        <f t="shared" si="0"/>
        <v>25320</v>
      </c>
      <c r="C41" s="188">
        <f t="shared" si="4"/>
        <v>0</v>
      </c>
      <c r="D41" s="188"/>
      <c r="E41" s="188"/>
      <c r="F41" s="188">
        <f t="shared" si="5"/>
        <v>25320</v>
      </c>
      <c r="G41" s="133"/>
      <c r="H41" s="133">
        <v>24120</v>
      </c>
      <c r="I41" s="133">
        <v>1200</v>
      </c>
      <c r="J41" s="133"/>
      <c r="K41" s="133"/>
      <c r="L41" s="133"/>
      <c r="M41" s="133"/>
      <c r="N41" s="133"/>
      <c r="O41" s="133"/>
      <c r="P41" s="133"/>
    </row>
    <row r="42" spans="1:16" ht="39" customHeight="1">
      <c r="A42" s="94" t="s">
        <v>57</v>
      </c>
      <c r="B42" s="93">
        <f t="shared" si="0"/>
        <v>42398</v>
      </c>
      <c r="C42" s="188">
        <f t="shared" si="4"/>
        <v>0</v>
      </c>
      <c r="D42" s="188"/>
      <c r="E42" s="188"/>
      <c r="F42" s="188">
        <f t="shared" si="5"/>
        <v>42398</v>
      </c>
      <c r="G42" s="133"/>
      <c r="H42" s="133">
        <v>40298</v>
      </c>
      <c r="I42" s="133">
        <v>2100</v>
      </c>
      <c r="J42" s="133"/>
      <c r="K42" s="133"/>
      <c r="L42" s="133"/>
      <c r="M42" s="133"/>
      <c r="N42" s="133"/>
      <c r="O42" s="133"/>
      <c r="P42" s="133"/>
    </row>
    <row r="43" spans="1:16" ht="37.9" customHeight="1">
      <c r="A43" s="94" t="s">
        <v>157</v>
      </c>
      <c r="B43" s="93">
        <f t="shared" si="0"/>
        <v>22932</v>
      </c>
      <c r="C43" s="188">
        <f t="shared" si="4"/>
        <v>0</v>
      </c>
      <c r="D43" s="188"/>
      <c r="E43" s="188"/>
      <c r="F43" s="188">
        <f t="shared" si="5"/>
        <v>22932</v>
      </c>
      <c r="G43" s="133"/>
      <c r="H43" s="133">
        <v>17632</v>
      </c>
      <c r="I43" s="133">
        <v>5300</v>
      </c>
      <c r="J43" s="133"/>
      <c r="K43" s="133"/>
      <c r="L43" s="133"/>
      <c r="M43" s="133"/>
      <c r="N43" s="133"/>
      <c r="O43" s="133"/>
      <c r="P43" s="133"/>
    </row>
    <row r="44" spans="1:16" ht="30" customHeight="1">
      <c r="A44" s="94" t="s">
        <v>58</v>
      </c>
      <c r="B44" s="93">
        <f t="shared" si="0"/>
        <v>17100</v>
      </c>
      <c r="C44" s="188">
        <f t="shared" si="4"/>
        <v>0</v>
      </c>
      <c r="D44" s="188"/>
      <c r="E44" s="188"/>
      <c r="F44" s="188">
        <f t="shared" si="5"/>
        <v>17100</v>
      </c>
      <c r="G44" s="133"/>
      <c r="H44" s="133">
        <v>17000</v>
      </c>
      <c r="I44" s="133">
        <v>100</v>
      </c>
      <c r="J44" s="133"/>
      <c r="K44" s="133"/>
      <c r="L44" s="133"/>
      <c r="M44" s="133"/>
      <c r="N44" s="133"/>
      <c r="O44" s="133"/>
      <c r="P44" s="133"/>
    </row>
    <row r="45" spans="1:16" ht="41.25" customHeight="1">
      <c r="A45" s="94" t="s">
        <v>576</v>
      </c>
      <c r="B45" s="93">
        <f t="shared" si="0"/>
        <v>108183</v>
      </c>
      <c r="C45" s="188">
        <f t="shared" si="4"/>
        <v>0</v>
      </c>
      <c r="D45" s="188"/>
      <c r="E45" s="188"/>
      <c r="F45" s="188">
        <f>SUM(G45:K45)</f>
        <v>85905</v>
      </c>
      <c r="G45" s="133"/>
      <c r="H45" s="133">
        <f>9472+28735</f>
        <v>38207</v>
      </c>
      <c r="I45" s="133">
        <v>47698</v>
      </c>
      <c r="J45" s="133"/>
      <c r="K45" s="133"/>
      <c r="L45" s="133"/>
      <c r="M45" s="133"/>
      <c r="N45" s="133">
        <v>22278</v>
      </c>
      <c r="O45" s="133"/>
      <c r="P45" s="133"/>
    </row>
    <row r="46" spans="1:16" ht="30" customHeight="1">
      <c r="A46" s="94" t="s">
        <v>156</v>
      </c>
      <c r="B46" s="93">
        <f t="shared" si="0"/>
        <v>44687</v>
      </c>
      <c r="C46" s="188">
        <f t="shared" si="4"/>
        <v>0</v>
      </c>
      <c r="D46" s="188"/>
      <c r="E46" s="188"/>
      <c r="F46" s="188">
        <f>SUM(G46:K46)</f>
        <v>44687</v>
      </c>
      <c r="G46" s="133"/>
      <c r="H46" s="133">
        <v>39687</v>
      </c>
      <c r="I46" s="133">
        <v>5000</v>
      </c>
      <c r="J46" s="133"/>
      <c r="K46" s="133"/>
      <c r="L46" s="133"/>
      <c r="M46" s="133"/>
      <c r="N46" s="133"/>
      <c r="O46" s="133"/>
      <c r="P46" s="133"/>
    </row>
    <row r="47" spans="1:16" ht="30" customHeight="1">
      <c r="A47" s="94" t="s">
        <v>158</v>
      </c>
      <c r="B47" s="93">
        <f t="shared" si="0"/>
        <v>262795</v>
      </c>
      <c r="C47" s="188">
        <f t="shared" si="4"/>
        <v>0</v>
      </c>
      <c r="D47" s="188"/>
      <c r="E47" s="188"/>
      <c r="F47" s="188">
        <f t="shared" si="5"/>
        <v>113656</v>
      </c>
      <c r="G47" s="133"/>
      <c r="H47" s="133">
        <v>55578</v>
      </c>
      <c r="I47" s="133">
        <v>58078</v>
      </c>
      <c r="J47" s="133"/>
      <c r="K47" s="133"/>
      <c r="L47" s="133"/>
      <c r="M47" s="133"/>
      <c r="N47" s="133">
        <v>149139</v>
      </c>
      <c r="O47" s="133"/>
      <c r="P47" s="133"/>
    </row>
    <row r="48" spans="1:16" ht="30" customHeight="1">
      <c r="A48" s="94" t="s">
        <v>160</v>
      </c>
      <c r="B48" s="93">
        <f t="shared" si="0"/>
        <v>71032</v>
      </c>
      <c r="C48" s="188">
        <f t="shared" si="4"/>
        <v>0</v>
      </c>
      <c r="D48" s="188"/>
      <c r="E48" s="188"/>
      <c r="F48" s="188">
        <f t="shared" si="5"/>
        <v>71032</v>
      </c>
      <c r="G48" s="133"/>
      <c r="H48" s="133">
        <v>54832</v>
      </c>
      <c r="I48" s="133">
        <v>16200</v>
      </c>
      <c r="J48" s="133"/>
      <c r="K48" s="133"/>
      <c r="L48" s="133"/>
      <c r="M48" s="133"/>
      <c r="N48" s="133"/>
      <c r="O48" s="133"/>
      <c r="P48" s="133"/>
    </row>
    <row r="49" spans="1:16" ht="30" customHeight="1">
      <c r="A49" s="94" t="s">
        <v>161</v>
      </c>
      <c r="B49" s="93">
        <f t="shared" si="0"/>
        <v>88717</v>
      </c>
      <c r="C49" s="188">
        <f t="shared" si="4"/>
        <v>0</v>
      </c>
      <c r="D49" s="188"/>
      <c r="E49" s="188"/>
      <c r="F49" s="188">
        <f t="shared" si="5"/>
        <v>88717</v>
      </c>
      <c r="G49" s="133"/>
      <c r="H49" s="133">
        <v>83017</v>
      </c>
      <c r="I49" s="133">
        <v>5700</v>
      </c>
      <c r="J49" s="133"/>
      <c r="K49" s="133"/>
      <c r="L49" s="133"/>
      <c r="M49" s="133"/>
      <c r="N49" s="133"/>
      <c r="O49" s="133"/>
      <c r="P49" s="133"/>
    </row>
    <row r="50" spans="1:16" ht="30" customHeight="1">
      <c r="A50" s="94" t="s">
        <v>59</v>
      </c>
      <c r="B50" s="93">
        <f t="shared" si="0"/>
        <v>46559</v>
      </c>
      <c r="C50" s="188">
        <f t="shared" si="4"/>
        <v>0</v>
      </c>
      <c r="D50" s="188"/>
      <c r="E50" s="188"/>
      <c r="F50" s="188">
        <f t="shared" si="5"/>
        <v>46559</v>
      </c>
      <c r="G50" s="133"/>
      <c r="H50" s="133">
        <v>40759</v>
      </c>
      <c r="I50" s="133">
        <v>5800</v>
      </c>
      <c r="J50" s="133"/>
      <c r="K50" s="133"/>
      <c r="L50" s="133"/>
      <c r="M50" s="133"/>
      <c r="N50" s="133"/>
      <c r="O50" s="133"/>
      <c r="P50" s="133"/>
    </row>
    <row r="51" spans="1:16" ht="30" customHeight="1">
      <c r="A51" s="94" t="s">
        <v>60</v>
      </c>
      <c r="B51" s="93">
        <f t="shared" si="0"/>
        <v>24244</v>
      </c>
      <c r="C51" s="188">
        <f t="shared" si="4"/>
        <v>0</v>
      </c>
      <c r="D51" s="188"/>
      <c r="E51" s="188"/>
      <c r="F51" s="188">
        <f t="shared" si="5"/>
        <v>24244</v>
      </c>
      <c r="G51" s="133"/>
      <c r="H51" s="133">
        <v>23544</v>
      </c>
      <c r="I51" s="133">
        <v>700</v>
      </c>
      <c r="J51" s="133"/>
      <c r="K51" s="133"/>
      <c r="L51" s="133"/>
      <c r="M51" s="133"/>
      <c r="N51" s="133"/>
      <c r="O51" s="133"/>
      <c r="P51" s="133"/>
    </row>
    <row r="52" spans="1:16" ht="30" customHeight="1">
      <c r="A52" s="94" t="s">
        <v>164</v>
      </c>
      <c r="B52" s="93">
        <f t="shared" si="0"/>
        <v>45683</v>
      </c>
      <c r="C52" s="188">
        <f t="shared" si="4"/>
        <v>0</v>
      </c>
      <c r="D52" s="188"/>
      <c r="E52" s="188"/>
      <c r="F52" s="188">
        <f t="shared" si="5"/>
        <v>45683</v>
      </c>
      <c r="G52" s="133"/>
      <c r="H52" s="133">
        <v>36183</v>
      </c>
      <c r="I52" s="133">
        <v>9500</v>
      </c>
      <c r="J52" s="133"/>
      <c r="K52" s="133"/>
      <c r="L52" s="133"/>
      <c r="M52" s="133"/>
      <c r="N52" s="133"/>
      <c r="O52" s="133"/>
      <c r="P52" s="133"/>
    </row>
    <row r="53" spans="1:16" ht="30" customHeight="1">
      <c r="A53" s="94" t="s">
        <v>61</v>
      </c>
      <c r="B53" s="93">
        <f t="shared" si="0"/>
        <v>38381</v>
      </c>
      <c r="C53" s="188">
        <f t="shared" si="4"/>
        <v>0</v>
      </c>
      <c r="D53" s="188"/>
      <c r="E53" s="188"/>
      <c r="F53" s="188">
        <f t="shared" si="5"/>
        <v>38381</v>
      </c>
      <c r="G53" s="133"/>
      <c r="H53" s="133">
        <v>33481</v>
      </c>
      <c r="I53" s="133">
        <v>4900</v>
      </c>
      <c r="J53" s="133"/>
      <c r="K53" s="133"/>
      <c r="L53" s="133"/>
      <c r="M53" s="133"/>
      <c r="N53" s="133"/>
      <c r="O53" s="133"/>
      <c r="P53" s="133"/>
    </row>
    <row r="54" spans="1:16" ht="30" customHeight="1">
      <c r="A54" s="94" t="s">
        <v>162</v>
      </c>
      <c r="B54" s="93">
        <f t="shared" si="0"/>
        <v>10032</v>
      </c>
      <c r="C54" s="188">
        <f t="shared" si="4"/>
        <v>0</v>
      </c>
      <c r="D54" s="188"/>
      <c r="E54" s="188"/>
      <c r="F54" s="188">
        <f t="shared" si="5"/>
        <v>10032</v>
      </c>
      <c r="G54" s="133"/>
      <c r="H54" s="133">
        <v>5132</v>
      </c>
      <c r="I54" s="133">
        <v>4900</v>
      </c>
      <c r="J54" s="133"/>
      <c r="K54" s="133"/>
      <c r="L54" s="133"/>
      <c r="M54" s="133"/>
      <c r="N54" s="133"/>
      <c r="O54" s="133"/>
      <c r="P54" s="133"/>
    </row>
    <row r="55" spans="1:16" ht="30" customHeight="1">
      <c r="A55" s="94" t="s">
        <v>163</v>
      </c>
      <c r="B55" s="93">
        <f t="shared" si="0"/>
        <v>28166</v>
      </c>
      <c r="C55" s="188">
        <f t="shared" si="4"/>
        <v>0</v>
      </c>
      <c r="D55" s="188"/>
      <c r="E55" s="188"/>
      <c r="F55" s="188">
        <f t="shared" si="5"/>
        <v>28166</v>
      </c>
      <c r="G55" s="133"/>
      <c r="H55" s="133">
        <v>20000</v>
      </c>
      <c r="I55" s="133">
        <v>8166</v>
      </c>
      <c r="J55" s="133"/>
      <c r="K55" s="133"/>
      <c r="L55" s="133"/>
      <c r="M55" s="133"/>
      <c r="N55" s="133"/>
      <c r="O55" s="133"/>
      <c r="P55" s="133"/>
    </row>
    <row r="56" spans="1:16" ht="40.5" customHeight="1">
      <c r="A56" s="94" t="s">
        <v>565</v>
      </c>
      <c r="B56" s="93">
        <f t="shared" si="0"/>
        <v>370157</v>
      </c>
      <c r="C56" s="188">
        <f t="shared" si="4"/>
        <v>0</v>
      </c>
      <c r="D56" s="188"/>
      <c r="E56" s="188"/>
      <c r="F56" s="188">
        <f>SUM(G56:K56)</f>
        <v>0</v>
      </c>
      <c r="G56" s="133"/>
      <c r="H56" s="133"/>
      <c r="I56" s="133"/>
      <c r="J56" s="133"/>
      <c r="K56" s="133"/>
      <c r="L56" s="133"/>
      <c r="M56" s="133"/>
      <c r="N56" s="133">
        <v>370157</v>
      </c>
      <c r="O56" s="133"/>
      <c r="P56" s="133"/>
    </row>
    <row r="57" spans="1:16" ht="20.25" customHeight="1">
      <c r="A57" s="94" t="s">
        <v>84</v>
      </c>
      <c r="B57" s="93">
        <f t="shared" si="0"/>
        <v>67348.78</v>
      </c>
      <c r="C57" s="188">
        <f t="shared" si="4"/>
        <v>1483</v>
      </c>
      <c r="D57" s="188">
        <v>1200</v>
      </c>
      <c r="E57" s="188">
        <v>283</v>
      </c>
      <c r="F57" s="188">
        <f>SUM(G57:K57)</f>
        <v>2100</v>
      </c>
      <c r="G57" s="133"/>
      <c r="H57" s="133">
        <v>2100</v>
      </c>
      <c r="I57" s="133"/>
      <c r="J57" s="133"/>
      <c r="K57" s="133"/>
      <c r="L57" s="133"/>
      <c r="M57" s="133"/>
      <c r="N57" s="133"/>
      <c r="O57" s="133">
        <v>63000</v>
      </c>
      <c r="P57" s="133">
        <v>765.78</v>
      </c>
    </row>
    <row r="58" spans="1:16" ht="45" customHeight="1">
      <c r="A58" s="125" t="s">
        <v>714</v>
      </c>
      <c r="B58" s="93">
        <f t="shared" si="0"/>
        <v>461696</v>
      </c>
      <c r="C58" s="188">
        <f t="shared" si="4"/>
        <v>0</v>
      </c>
      <c r="D58" s="188"/>
      <c r="E58" s="188"/>
      <c r="F58" s="188">
        <f t="shared" si="5"/>
        <v>0</v>
      </c>
      <c r="G58" s="133"/>
      <c r="H58" s="133"/>
      <c r="I58" s="133"/>
      <c r="J58" s="133"/>
      <c r="K58" s="133"/>
      <c r="L58" s="133"/>
      <c r="M58" s="133"/>
      <c r="N58" s="133">
        <v>461696</v>
      </c>
      <c r="O58" s="133"/>
      <c r="P58" s="133"/>
    </row>
    <row r="59" spans="1:16" ht="45" customHeight="1">
      <c r="A59" s="95" t="s">
        <v>62</v>
      </c>
      <c r="B59" s="93">
        <f t="shared" si="0"/>
        <v>100659</v>
      </c>
      <c r="C59" s="188">
        <f t="shared" si="4"/>
        <v>0</v>
      </c>
      <c r="D59" s="188"/>
      <c r="E59" s="188"/>
      <c r="F59" s="188">
        <f t="shared" si="5"/>
        <v>100659</v>
      </c>
      <c r="G59" s="133"/>
      <c r="H59" s="133">
        <v>100659</v>
      </c>
      <c r="I59" s="133"/>
      <c r="J59" s="133"/>
      <c r="K59" s="133"/>
      <c r="L59" s="133"/>
      <c r="M59" s="133"/>
      <c r="N59" s="133"/>
      <c r="O59" s="133"/>
      <c r="P59" s="133"/>
    </row>
    <row r="60" spans="1:16" ht="35.45" customHeight="1">
      <c r="A60" s="94" t="s">
        <v>253</v>
      </c>
      <c r="B60" s="93">
        <f t="shared" si="0"/>
        <v>7456</v>
      </c>
      <c r="C60" s="188">
        <f t="shared" si="4"/>
        <v>0</v>
      </c>
      <c r="D60" s="188"/>
      <c r="E60" s="188"/>
      <c r="F60" s="188">
        <f t="shared" si="5"/>
        <v>7456</v>
      </c>
      <c r="G60" s="133"/>
      <c r="H60" s="133">
        <v>4582</v>
      </c>
      <c r="I60" s="133">
        <v>2754</v>
      </c>
      <c r="J60" s="133"/>
      <c r="K60" s="133">
        <v>120</v>
      </c>
      <c r="L60" s="133"/>
      <c r="M60" s="133"/>
      <c r="N60" s="133"/>
      <c r="O60" s="133"/>
      <c r="P60" s="133"/>
    </row>
    <row r="61" spans="1:16" ht="33.6" customHeight="1">
      <c r="A61" s="95" t="s">
        <v>563</v>
      </c>
      <c r="B61" s="93">
        <f t="shared" si="0"/>
        <v>3561</v>
      </c>
      <c r="C61" s="188">
        <f t="shared" si="4"/>
        <v>0</v>
      </c>
      <c r="D61" s="188"/>
      <c r="E61" s="188"/>
      <c r="F61" s="188">
        <f t="shared" si="6" ref="F61:F78">SUM(G61:K61)</f>
        <v>3561</v>
      </c>
      <c r="G61" s="133"/>
      <c r="H61" s="133">
        <v>2761</v>
      </c>
      <c r="I61" s="133">
        <v>300</v>
      </c>
      <c r="J61" s="133"/>
      <c r="K61" s="133">
        <v>500</v>
      </c>
      <c r="L61" s="133"/>
      <c r="M61" s="133"/>
      <c r="N61" s="133"/>
      <c r="O61" s="133"/>
      <c r="P61" s="133"/>
    </row>
    <row r="62" spans="1:16" ht="30" customHeight="1">
      <c r="A62" s="95" t="s">
        <v>180</v>
      </c>
      <c r="B62" s="93">
        <f t="shared" si="0"/>
        <v>5646</v>
      </c>
      <c r="C62" s="188">
        <f t="shared" si="4"/>
        <v>0</v>
      </c>
      <c r="D62" s="188"/>
      <c r="E62" s="188"/>
      <c r="F62" s="188">
        <f>SUM(G62:K62)</f>
        <v>5646</v>
      </c>
      <c r="G62" s="133"/>
      <c r="H62" s="133">
        <v>4140</v>
      </c>
      <c r="I62" s="133">
        <v>1406</v>
      </c>
      <c r="J62" s="133"/>
      <c r="K62" s="133">
        <v>100</v>
      </c>
      <c r="L62" s="133"/>
      <c r="M62" s="133"/>
      <c r="N62" s="133"/>
      <c r="O62" s="133"/>
      <c r="P62" s="133"/>
    </row>
    <row r="63" spans="1:16" ht="30" customHeight="1">
      <c r="A63" s="95" t="s">
        <v>561</v>
      </c>
      <c r="B63" s="93">
        <f t="shared" si="0"/>
        <v>5889</v>
      </c>
      <c r="C63" s="188">
        <f t="shared" si="4"/>
        <v>0</v>
      </c>
      <c r="D63" s="188"/>
      <c r="E63" s="188"/>
      <c r="F63" s="188">
        <f t="shared" si="6"/>
        <v>5889</v>
      </c>
      <c r="G63" s="133"/>
      <c r="H63" s="133">
        <v>5739</v>
      </c>
      <c r="I63" s="133">
        <v>150</v>
      </c>
      <c r="J63" s="133"/>
      <c r="K63" s="133"/>
      <c r="L63" s="133"/>
      <c r="M63" s="133"/>
      <c r="N63" s="133"/>
      <c r="O63" s="133"/>
      <c r="P63" s="133"/>
    </row>
    <row r="64" spans="1:16" ht="30" customHeight="1">
      <c r="A64" s="95" t="s">
        <v>178</v>
      </c>
      <c r="B64" s="93">
        <f t="shared" si="0"/>
        <v>3980</v>
      </c>
      <c r="C64" s="188">
        <f t="shared" si="4"/>
        <v>0</v>
      </c>
      <c r="D64" s="188"/>
      <c r="E64" s="188"/>
      <c r="F64" s="188">
        <f t="shared" si="6"/>
        <v>3980</v>
      </c>
      <c r="G64" s="133"/>
      <c r="H64" s="133">
        <v>3100</v>
      </c>
      <c r="I64" s="133">
        <v>480</v>
      </c>
      <c r="J64" s="133"/>
      <c r="K64" s="133">
        <v>400</v>
      </c>
      <c r="L64" s="133"/>
      <c r="M64" s="133"/>
      <c r="N64" s="133"/>
      <c r="O64" s="133"/>
      <c r="P64" s="133"/>
    </row>
    <row r="65" spans="1:16" ht="30" customHeight="1">
      <c r="A65" s="95" t="s">
        <v>179</v>
      </c>
      <c r="B65" s="93">
        <f t="shared" si="0"/>
        <v>8580</v>
      </c>
      <c r="C65" s="188">
        <f t="shared" si="4"/>
        <v>0</v>
      </c>
      <c r="D65" s="188"/>
      <c r="E65" s="188"/>
      <c r="F65" s="188">
        <f t="shared" si="6"/>
        <v>8580</v>
      </c>
      <c r="G65" s="133"/>
      <c r="H65" s="133">
        <v>7980</v>
      </c>
      <c r="I65" s="133">
        <v>555</v>
      </c>
      <c r="J65" s="133"/>
      <c r="K65" s="133">
        <v>45</v>
      </c>
      <c r="L65" s="133"/>
      <c r="M65" s="133"/>
      <c r="N65" s="133"/>
      <c r="O65" s="133"/>
      <c r="P65" s="133"/>
    </row>
    <row r="66" spans="1:16" ht="30" customHeight="1">
      <c r="A66" s="95" t="s">
        <v>89</v>
      </c>
      <c r="B66" s="93">
        <f t="shared" si="0"/>
        <v>5700</v>
      </c>
      <c r="C66" s="188">
        <f t="shared" si="4"/>
        <v>0</v>
      </c>
      <c r="D66" s="188"/>
      <c r="E66" s="188"/>
      <c r="F66" s="188">
        <f t="shared" si="6"/>
        <v>5700</v>
      </c>
      <c r="G66" s="133"/>
      <c r="H66" s="133">
        <v>4930</v>
      </c>
      <c r="I66" s="133">
        <v>700</v>
      </c>
      <c r="J66" s="133"/>
      <c r="K66" s="133">
        <v>70</v>
      </c>
      <c r="L66" s="133"/>
      <c r="M66" s="133"/>
      <c r="N66" s="133"/>
      <c r="O66" s="133"/>
      <c r="P66" s="133"/>
    </row>
    <row r="67" spans="1:16" ht="33" customHeight="1">
      <c r="A67" s="94" t="s">
        <v>254</v>
      </c>
      <c r="B67" s="93">
        <f t="shared" si="0"/>
        <v>9130</v>
      </c>
      <c r="C67" s="188">
        <f t="shared" si="4"/>
        <v>0</v>
      </c>
      <c r="D67" s="188"/>
      <c r="E67" s="188"/>
      <c r="F67" s="188">
        <f t="shared" si="6"/>
        <v>9130</v>
      </c>
      <c r="G67" s="133"/>
      <c r="H67" s="133">
        <v>8200</v>
      </c>
      <c r="I67" s="133">
        <v>730</v>
      </c>
      <c r="J67" s="133"/>
      <c r="K67" s="133">
        <v>200</v>
      </c>
      <c r="L67" s="133"/>
      <c r="M67" s="133"/>
      <c r="N67" s="133"/>
      <c r="O67" s="133"/>
      <c r="P67" s="133"/>
    </row>
    <row r="68" spans="1:16" ht="30" customHeight="1">
      <c r="A68" s="94" t="s">
        <v>559</v>
      </c>
      <c r="B68" s="93">
        <f t="shared" si="0"/>
        <v>3070</v>
      </c>
      <c r="C68" s="188">
        <f t="shared" si="4"/>
        <v>0</v>
      </c>
      <c r="D68" s="188"/>
      <c r="E68" s="188"/>
      <c r="F68" s="188">
        <f t="shared" si="6"/>
        <v>3070</v>
      </c>
      <c r="G68" s="133"/>
      <c r="H68" s="133">
        <v>2860</v>
      </c>
      <c r="I68" s="133">
        <v>160</v>
      </c>
      <c r="J68" s="133"/>
      <c r="K68" s="133">
        <v>50</v>
      </c>
      <c r="L68" s="133"/>
      <c r="M68" s="133"/>
      <c r="N68" s="133"/>
      <c r="O68" s="133"/>
      <c r="P68" s="133"/>
    </row>
    <row r="69" spans="1:16" ht="30" customHeight="1">
      <c r="A69" s="95" t="s">
        <v>86</v>
      </c>
      <c r="B69" s="93">
        <f t="shared" si="0"/>
        <v>7086</v>
      </c>
      <c r="C69" s="188">
        <f t="shared" si="4"/>
        <v>0</v>
      </c>
      <c r="D69" s="188"/>
      <c r="E69" s="188"/>
      <c r="F69" s="188">
        <f t="shared" si="6"/>
        <v>7086</v>
      </c>
      <c r="G69" s="133"/>
      <c r="H69" s="133">
        <v>6576</v>
      </c>
      <c r="I69" s="133">
        <v>410</v>
      </c>
      <c r="J69" s="133"/>
      <c r="K69" s="133">
        <v>100</v>
      </c>
      <c r="L69" s="133"/>
      <c r="M69" s="133"/>
      <c r="N69" s="133"/>
      <c r="O69" s="133"/>
      <c r="P69" s="133"/>
    </row>
    <row r="70" spans="1:16" ht="30" customHeight="1">
      <c r="A70" s="95" t="s">
        <v>88</v>
      </c>
      <c r="B70" s="93">
        <f t="shared" si="0"/>
        <v>2410</v>
      </c>
      <c r="C70" s="188">
        <f t="shared" si="4"/>
        <v>0</v>
      </c>
      <c r="D70" s="188"/>
      <c r="E70" s="188"/>
      <c r="F70" s="188">
        <f t="shared" si="6"/>
        <v>2410</v>
      </c>
      <c r="G70" s="133"/>
      <c r="H70" s="133">
        <v>1210</v>
      </c>
      <c r="I70" s="133">
        <v>1170</v>
      </c>
      <c r="J70" s="133"/>
      <c r="K70" s="133">
        <v>30</v>
      </c>
      <c r="L70" s="133"/>
      <c r="M70" s="133"/>
      <c r="N70" s="133"/>
      <c r="O70" s="133"/>
      <c r="P70" s="133"/>
    </row>
    <row r="71" spans="1:16" ht="36" customHeight="1">
      <c r="A71" s="95" t="s">
        <v>252</v>
      </c>
      <c r="B71" s="93">
        <f t="shared" si="0"/>
        <v>7970</v>
      </c>
      <c r="C71" s="188">
        <f t="shared" si="4"/>
        <v>0</v>
      </c>
      <c r="D71" s="188"/>
      <c r="E71" s="188"/>
      <c r="F71" s="188">
        <f>SUM(G71:K71)</f>
        <v>7970</v>
      </c>
      <c r="G71" s="133"/>
      <c r="H71" s="133">
        <v>7050</v>
      </c>
      <c r="I71" s="133">
        <v>800</v>
      </c>
      <c r="J71" s="133"/>
      <c r="K71" s="133">
        <v>120</v>
      </c>
      <c r="L71" s="133"/>
      <c r="M71" s="133"/>
      <c r="N71" s="133"/>
      <c r="O71" s="133"/>
      <c r="P71" s="133"/>
    </row>
    <row r="72" spans="1:16" ht="30" customHeight="1">
      <c r="A72" s="95" t="s">
        <v>181</v>
      </c>
      <c r="B72" s="93">
        <f t="shared" si="0"/>
        <v>9518</v>
      </c>
      <c r="C72" s="188">
        <f t="shared" si="4"/>
        <v>0</v>
      </c>
      <c r="D72" s="188"/>
      <c r="E72" s="188"/>
      <c r="F72" s="188">
        <f t="shared" si="6"/>
        <v>8018</v>
      </c>
      <c r="G72" s="133"/>
      <c r="H72" s="133">
        <v>7395</v>
      </c>
      <c r="I72" s="133">
        <v>226</v>
      </c>
      <c r="J72" s="133"/>
      <c r="K72" s="133">
        <v>397</v>
      </c>
      <c r="L72" s="133"/>
      <c r="M72" s="133"/>
      <c r="N72" s="133">
        <v>1500</v>
      </c>
      <c r="O72" s="133"/>
      <c r="P72" s="133"/>
    </row>
    <row r="73" spans="1:16" ht="30" customHeight="1">
      <c r="A73" s="95" t="s">
        <v>87</v>
      </c>
      <c r="B73" s="93">
        <f t="shared" si="0"/>
        <v>410</v>
      </c>
      <c r="C73" s="188">
        <f t="shared" si="4"/>
        <v>0</v>
      </c>
      <c r="D73" s="188"/>
      <c r="E73" s="188"/>
      <c r="F73" s="188">
        <f t="shared" si="6"/>
        <v>410</v>
      </c>
      <c r="G73" s="133"/>
      <c r="H73" s="133">
        <v>230</v>
      </c>
      <c r="I73" s="133">
        <v>160</v>
      </c>
      <c r="J73" s="133"/>
      <c r="K73" s="133">
        <v>20</v>
      </c>
      <c r="L73" s="133"/>
      <c r="M73" s="133"/>
      <c r="N73" s="133"/>
      <c r="O73" s="133"/>
      <c r="P73" s="133"/>
    </row>
    <row r="74" spans="1:16" ht="30" customHeight="1">
      <c r="A74" s="95" t="s">
        <v>90</v>
      </c>
      <c r="B74" s="93">
        <f t="shared" si="0"/>
        <v>2748</v>
      </c>
      <c r="C74" s="188">
        <f t="shared" si="4"/>
        <v>0</v>
      </c>
      <c r="D74" s="188"/>
      <c r="E74" s="188"/>
      <c r="F74" s="188">
        <f t="shared" si="6"/>
        <v>2748</v>
      </c>
      <c r="G74" s="133"/>
      <c r="H74" s="133">
        <v>1748</v>
      </c>
      <c r="I74" s="133">
        <v>980</v>
      </c>
      <c r="J74" s="133"/>
      <c r="K74" s="133">
        <v>20</v>
      </c>
      <c r="L74" s="133"/>
      <c r="M74" s="133"/>
      <c r="N74" s="133"/>
      <c r="O74" s="133"/>
      <c r="P74" s="133"/>
    </row>
    <row r="75" spans="1:16" ht="37.9" customHeight="1">
      <c r="A75" s="95" t="s">
        <v>153</v>
      </c>
      <c r="B75" s="93">
        <f t="shared" si="0"/>
        <v>19600</v>
      </c>
      <c r="C75" s="188">
        <f t="shared" si="4"/>
        <v>0</v>
      </c>
      <c r="D75" s="188"/>
      <c r="E75" s="188"/>
      <c r="F75" s="188">
        <f t="shared" si="6"/>
        <v>19600</v>
      </c>
      <c r="G75" s="133"/>
      <c r="H75" s="133">
        <v>16040</v>
      </c>
      <c r="I75" s="133">
        <v>3320</v>
      </c>
      <c r="J75" s="133"/>
      <c r="K75" s="133">
        <v>240</v>
      </c>
      <c r="L75" s="133"/>
      <c r="M75" s="133"/>
      <c r="N75" s="133"/>
      <c r="O75" s="133"/>
      <c r="P75" s="133"/>
    </row>
    <row r="76" spans="1:16" ht="30" customHeight="1">
      <c r="A76" s="95" t="s">
        <v>562</v>
      </c>
      <c r="B76" s="93">
        <f t="shared" si="0"/>
        <v>6665</v>
      </c>
      <c r="C76" s="188">
        <f t="shared" si="4"/>
        <v>0</v>
      </c>
      <c r="D76" s="188"/>
      <c r="E76" s="188"/>
      <c r="F76" s="188">
        <f t="shared" si="6"/>
        <v>6665</v>
      </c>
      <c r="G76" s="133"/>
      <c r="H76" s="133">
        <v>6605</v>
      </c>
      <c r="I76" s="133"/>
      <c r="J76" s="133"/>
      <c r="K76" s="133">
        <v>60</v>
      </c>
      <c r="L76" s="133"/>
      <c r="M76" s="133"/>
      <c r="N76" s="133"/>
      <c r="O76" s="133"/>
      <c r="P76" s="133"/>
    </row>
    <row r="77" spans="1:16" ht="30" customHeight="1">
      <c r="A77" s="95" t="s">
        <v>91</v>
      </c>
      <c r="B77" s="93">
        <f t="shared" si="7" ref="B77:B140">SUM(C77+F77,L77:P77)</f>
        <v>9500</v>
      </c>
      <c r="C77" s="188">
        <f t="shared" si="4"/>
        <v>0</v>
      </c>
      <c r="D77" s="188"/>
      <c r="E77" s="188"/>
      <c r="F77" s="188">
        <f t="shared" si="6"/>
        <v>9500</v>
      </c>
      <c r="G77" s="133"/>
      <c r="H77" s="133">
        <v>7599</v>
      </c>
      <c r="I77" s="133">
        <v>1831</v>
      </c>
      <c r="J77" s="133"/>
      <c r="K77" s="133">
        <v>70</v>
      </c>
      <c r="L77" s="133"/>
      <c r="M77" s="133"/>
      <c r="N77" s="133"/>
      <c r="O77" s="133"/>
      <c r="P77" s="133"/>
    </row>
    <row r="78" spans="1:16" ht="40.9" customHeight="1">
      <c r="A78" s="95" t="s">
        <v>85</v>
      </c>
      <c r="B78" s="93">
        <f t="shared" si="7"/>
        <v>5232</v>
      </c>
      <c r="C78" s="188">
        <f t="shared" si="4"/>
        <v>0</v>
      </c>
      <c r="D78" s="188"/>
      <c r="E78" s="188"/>
      <c r="F78" s="188">
        <f t="shared" si="6"/>
        <v>5232</v>
      </c>
      <c r="G78" s="133"/>
      <c r="H78" s="133">
        <v>5232</v>
      </c>
      <c r="I78" s="133"/>
      <c r="J78" s="133"/>
      <c r="K78" s="133"/>
      <c r="L78" s="133"/>
      <c r="M78" s="133"/>
      <c r="N78" s="133"/>
      <c r="O78" s="133"/>
      <c r="P78" s="133"/>
    </row>
    <row r="79" spans="1:16" ht="18" customHeight="1">
      <c r="A79" s="125" t="s">
        <v>9</v>
      </c>
      <c r="B79" s="93">
        <f t="shared" si="7"/>
        <v>119842</v>
      </c>
      <c r="C79" s="188">
        <f t="shared" si="4"/>
        <v>0</v>
      </c>
      <c r="D79" s="188"/>
      <c r="E79" s="188"/>
      <c r="F79" s="188">
        <f>SUM(G79:K79)</f>
        <v>119842</v>
      </c>
      <c r="G79" s="133"/>
      <c r="H79" s="133">
        <v>119842</v>
      </c>
      <c r="I79" s="133"/>
      <c r="J79" s="133"/>
      <c r="K79" s="133"/>
      <c r="L79" s="133"/>
      <c r="M79" s="133"/>
      <c r="N79" s="133"/>
      <c r="O79" s="133"/>
      <c r="P79" s="133"/>
    </row>
    <row r="80" spans="1:16" ht="18" customHeight="1">
      <c r="A80" s="178" t="s">
        <v>659</v>
      </c>
      <c r="B80" s="93">
        <f t="shared" si="7"/>
        <v>13234</v>
      </c>
      <c r="C80" s="188"/>
      <c r="D80" s="188"/>
      <c r="E80" s="188"/>
      <c r="F80" s="188">
        <f>SUM(G80:K80)</f>
        <v>13234</v>
      </c>
      <c r="G80" s="133"/>
      <c r="H80" s="133">
        <v>13234</v>
      </c>
      <c r="I80" s="133"/>
      <c r="J80" s="133"/>
      <c r="K80" s="133"/>
      <c r="L80" s="133"/>
      <c r="M80" s="133"/>
      <c r="N80" s="133"/>
      <c r="O80" s="133"/>
      <c r="P80" s="133"/>
    </row>
    <row r="81" spans="1:16" ht="20.45" customHeight="1">
      <c r="A81" s="95" t="s">
        <v>128</v>
      </c>
      <c r="B81" s="93">
        <f t="shared" si="7"/>
        <v>112585</v>
      </c>
      <c r="C81" s="188">
        <f t="shared" si="4"/>
        <v>0</v>
      </c>
      <c r="D81" s="188"/>
      <c r="E81" s="188"/>
      <c r="F81" s="188">
        <f>SUM(G81:K81)</f>
        <v>112585</v>
      </c>
      <c r="G81" s="133"/>
      <c r="H81" s="133">
        <v>110585</v>
      </c>
      <c r="I81" s="133"/>
      <c r="J81" s="133"/>
      <c r="K81" s="133">
        <v>2000</v>
      </c>
      <c r="L81" s="133"/>
      <c r="M81" s="133"/>
      <c r="N81" s="133"/>
      <c r="O81" s="133"/>
      <c r="P81" s="133"/>
    </row>
    <row r="82" spans="1:16" ht="21" customHeight="1">
      <c r="A82" s="125" t="s">
        <v>132</v>
      </c>
      <c r="B82" s="186">
        <f t="shared" si="7"/>
        <v>58549</v>
      </c>
      <c r="C82" s="188">
        <f t="shared" si="4"/>
        <v>0</v>
      </c>
      <c r="D82" s="188"/>
      <c r="E82" s="188"/>
      <c r="F82" s="188">
        <f>SUM(G82:K82)</f>
        <v>27549</v>
      </c>
      <c r="G82" s="133"/>
      <c r="H82" s="133">
        <v>27549</v>
      </c>
      <c r="I82" s="133"/>
      <c r="J82" s="133"/>
      <c r="K82" s="133"/>
      <c r="L82" s="133"/>
      <c r="M82" s="133"/>
      <c r="N82" s="133"/>
      <c r="O82" s="133">
        <v>31000</v>
      </c>
      <c r="P82" s="133"/>
    </row>
    <row r="83" spans="1:16" s="83" customFormat="1" ht="32.25" customHeight="1">
      <c r="A83" s="125" t="s">
        <v>743</v>
      </c>
      <c r="B83" s="93">
        <f t="shared" si="7"/>
        <v>100000</v>
      </c>
      <c r="C83" s="188">
        <f t="shared" si="4"/>
        <v>0</v>
      </c>
      <c r="D83" s="188"/>
      <c r="E83" s="188"/>
      <c r="F83" s="188">
        <f>SUM(G83:K83)</f>
        <v>0</v>
      </c>
      <c r="G83" s="133"/>
      <c r="H83" s="133"/>
      <c r="I83" s="133"/>
      <c r="J83" s="133"/>
      <c r="K83" s="133"/>
      <c r="L83" s="133"/>
      <c r="M83" s="133"/>
      <c r="N83" s="133">
        <v>100000</v>
      </c>
      <c r="O83" s="133"/>
      <c r="P83" s="133"/>
    </row>
    <row r="84" spans="1:16" ht="30" customHeight="1">
      <c r="A84" s="95" t="s">
        <v>10</v>
      </c>
      <c r="B84" s="93">
        <f t="shared" si="7"/>
        <v>41492</v>
      </c>
      <c r="C84" s="188">
        <f t="shared" si="4"/>
        <v>34195</v>
      </c>
      <c r="D84" s="188">
        <v>27668</v>
      </c>
      <c r="E84" s="188">
        <v>6527</v>
      </c>
      <c r="F84" s="188">
        <f t="shared" si="8" ref="F84:F105">SUM(G84:K84)</f>
        <v>7297</v>
      </c>
      <c r="G84" s="133"/>
      <c r="H84" s="133">
        <v>3041</v>
      </c>
      <c r="I84" s="133">
        <f>2550+1446+260</f>
        <v>4256</v>
      </c>
      <c r="J84" s="133"/>
      <c r="K84" s="133"/>
      <c r="L84" s="133"/>
      <c r="M84" s="133"/>
      <c r="N84" s="133"/>
      <c r="O84" s="133"/>
      <c r="P84" s="133"/>
    </row>
    <row r="85" spans="1:16" ht="30" customHeight="1">
      <c r="A85" s="95" t="s">
        <v>664</v>
      </c>
      <c r="B85" s="93">
        <f t="shared" si="7"/>
        <v>150213</v>
      </c>
      <c r="C85" s="188">
        <f t="shared" si="4"/>
        <v>90240</v>
      </c>
      <c r="D85" s="188">
        <v>74057</v>
      </c>
      <c r="E85" s="188">
        <v>16183</v>
      </c>
      <c r="F85" s="188">
        <f t="shared" si="8"/>
        <v>43754</v>
      </c>
      <c r="G85" s="133"/>
      <c r="H85" s="133">
        <v>16799</v>
      </c>
      <c r="I85" s="133">
        <f>26475+120</f>
        <v>26595</v>
      </c>
      <c r="J85" s="133"/>
      <c r="K85" s="133">
        <v>360</v>
      </c>
      <c r="L85" s="133"/>
      <c r="M85" s="133"/>
      <c r="N85" s="133">
        <v>16219</v>
      </c>
      <c r="O85" s="133"/>
      <c r="P85" s="133"/>
    </row>
    <row r="86" spans="1:16" ht="30" customHeight="1">
      <c r="A86" s="95" t="s">
        <v>208</v>
      </c>
      <c r="B86" s="93">
        <f t="shared" si="7"/>
        <v>97163</v>
      </c>
      <c r="C86" s="188">
        <f t="shared" si="4"/>
        <v>63834</v>
      </c>
      <c r="D86" s="188">
        <v>51569</v>
      </c>
      <c r="E86" s="188">
        <v>12265</v>
      </c>
      <c r="F86" s="188">
        <f t="shared" si="8"/>
        <v>33329</v>
      </c>
      <c r="G86" s="133"/>
      <c r="H86" s="133">
        <v>8949</v>
      </c>
      <c r="I86" s="133">
        <v>23920</v>
      </c>
      <c r="J86" s="133"/>
      <c r="K86" s="133">
        <f>460</f>
        <v>460</v>
      </c>
      <c r="L86" s="133"/>
      <c r="M86" s="133"/>
      <c r="N86" s="133"/>
      <c r="O86" s="133"/>
      <c r="P86" s="133"/>
    </row>
    <row r="87" spans="1:16" ht="25.9" customHeight="1">
      <c r="A87" s="95" t="s">
        <v>11</v>
      </c>
      <c r="B87" s="93">
        <f t="shared" si="7"/>
        <v>51682</v>
      </c>
      <c r="C87" s="188">
        <f t="shared" si="4"/>
        <v>38099</v>
      </c>
      <c r="D87" s="188">
        <v>31138</v>
      </c>
      <c r="E87" s="188">
        <v>6961</v>
      </c>
      <c r="F87" s="188">
        <f t="shared" si="8"/>
        <v>13583</v>
      </c>
      <c r="G87" s="133"/>
      <c r="H87" s="133">
        <v>7993</v>
      </c>
      <c r="I87" s="133">
        <v>5270</v>
      </c>
      <c r="J87" s="133"/>
      <c r="K87" s="133">
        <v>320</v>
      </c>
      <c r="L87" s="133"/>
      <c r="M87" s="133"/>
      <c r="N87" s="133"/>
      <c r="O87" s="133"/>
      <c r="P87" s="133"/>
    </row>
    <row r="88" spans="1:16" s="83" customFormat="1" ht="30" customHeight="1">
      <c r="A88" s="95" t="s">
        <v>12</v>
      </c>
      <c r="B88" s="93">
        <f t="shared" si="7"/>
        <v>52783</v>
      </c>
      <c r="C88" s="188">
        <f t="shared" si="4"/>
        <v>37861</v>
      </c>
      <c r="D88" s="188">
        <v>30634</v>
      </c>
      <c r="E88" s="188">
        <v>7227</v>
      </c>
      <c r="F88" s="188">
        <f t="shared" si="8"/>
        <v>14922</v>
      </c>
      <c r="G88" s="133"/>
      <c r="H88" s="133">
        <v>8272</v>
      </c>
      <c r="I88" s="133">
        <v>6650</v>
      </c>
      <c r="J88" s="133"/>
      <c r="K88" s="133"/>
      <c r="L88" s="133"/>
      <c r="M88" s="133"/>
      <c r="N88" s="133">
        <v>0</v>
      </c>
      <c r="O88" s="133"/>
      <c r="P88" s="133"/>
    </row>
    <row r="89" spans="1:16" ht="30" customHeight="1">
      <c r="A89" s="95" t="s">
        <v>13</v>
      </c>
      <c r="B89" s="93">
        <f t="shared" si="7"/>
        <v>38287</v>
      </c>
      <c r="C89" s="188">
        <f t="shared" si="4"/>
        <v>23641</v>
      </c>
      <c r="D89" s="188">
        <v>19316</v>
      </c>
      <c r="E89" s="188">
        <v>4325</v>
      </c>
      <c r="F89" s="188">
        <f t="shared" si="8"/>
        <v>14646</v>
      </c>
      <c r="G89" s="133"/>
      <c r="H89" s="133">
        <v>10296</v>
      </c>
      <c r="I89" s="133">
        <f>4050</f>
        <v>4050</v>
      </c>
      <c r="J89" s="133"/>
      <c r="K89" s="133">
        <v>300</v>
      </c>
      <c r="L89" s="133"/>
      <c r="M89" s="133"/>
      <c r="N89" s="133">
        <v>0</v>
      </c>
      <c r="O89" s="133"/>
      <c r="P89" s="133"/>
    </row>
    <row r="90" spans="1:16" ht="30" customHeight="1">
      <c r="A90" s="95" t="s">
        <v>14</v>
      </c>
      <c r="B90" s="93">
        <f t="shared" si="7"/>
        <v>78088</v>
      </c>
      <c r="C90" s="188">
        <f t="shared" si="4"/>
        <v>61973</v>
      </c>
      <c r="D90" s="188">
        <v>50063</v>
      </c>
      <c r="E90" s="188">
        <v>11910</v>
      </c>
      <c r="F90" s="188">
        <f t="shared" si="8"/>
        <v>16115</v>
      </c>
      <c r="G90" s="133"/>
      <c r="H90" s="133">
        <v>9088</v>
      </c>
      <c r="I90" s="133">
        <f>5463+1162</f>
        <v>6625</v>
      </c>
      <c r="J90" s="133"/>
      <c r="K90" s="133">
        <v>402</v>
      </c>
      <c r="L90" s="133"/>
      <c r="M90" s="133"/>
      <c r="N90" s="133"/>
      <c r="O90" s="133"/>
      <c r="P90" s="133"/>
    </row>
    <row r="91" spans="1:16" ht="21.75" customHeight="1">
      <c r="A91" s="95" t="s">
        <v>255</v>
      </c>
      <c r="B91" s="93">
        <f t="shared" si="7"/>
        <v>120675</v>
      </c>
      <c r="C91" s="188">
        <f t="shared" si="4"/>
        <v>73486</v>
      </c>
      <c r="D91" s="188">
        <v>59588</v>
      </c>
      <c r="E91" s="188">
        <v>13898</v>
      </c>
      <c r="F91" s="188">
        <f t="shared" si="8"/>
        <v>46339</v>
      </c>
      <c r="G91" s="133"/>
      <c r="H91" s="133">
        <v>35749</v>
      </c>
      <c r="I91" s="133">
        <v>10590</v>
      </c>
      <c r="J91" s="133"/>
      <c r="K91" s="133"/>
      <c r="L91" s="133"/>
      <c r="M91" s="133"/>
      <c r="N91" s="133">
        <v>850</v>
      </c>
      <c r="O91" s="133"/>
      <c r="P91" s="133"/>
    </row>
    <row r="92" spans="1:16" ht="30" customHeight="1">
      <c r="A92" s="96" t="s">
        <v>92</v>
      </c>
      <c r="B92" s="93">
        <f t="shared" si="7"/>
        <v>99065</v>
      </c>
      <c r="C92" s="188">
        <f t="shared" si="4"/>
        <v>68897</v>
      </c>
      <c r="D92" s="197">
        <v>55869</v>
      </c>
      <c r="E92" s="197">
        <v>13028</v>
      </c>
      <c r="F92" s="188">
        <f>SUM(G92:K92)</f>
        <v>30168</v>
      </c>
      <c r="G92" s="133"/>
      <c r="H92" s="133">
        <v>15808</v>
      </c>
      <c r="I92" s="133">
        <v>13910</v>
      </c>
      <c r="J92" s="133"/>
      <c r="K92" s="133">
        <v>450</v>
      </c>
      <c r="L92" s="133"/>
      <c r="M92" s="133"/>
      <c r="N92" s="135"/>
      <c r="O92" s="133"/>
      <c r="P92" s="133"/>
    </row>
    <row r="93" spans="1:16" ht="19.5" customHeight="1">
      <c r="A93" s="95" t="s">
        <v>15</v>
      </c>
      <c r="B93" s="93">
        <f t="shared" si="7"/>
        <v>56503</v>
      </c>
      <c r="C93" s="188">
        <f t="shared" si="4"/>
        <v>41582</v>
      </c>
      <c r="D93" s="188">
        <v>33645</v>
      </c>
      <c r="E93" s="188">
        <v>7937</v>
      </c>
      <c r="F93" s="188">
        <f t="shared" si="8"/>
        <v>14921</v>
      </c>
      <c r="G93" s="133"/>
      <c r="H93" s="133">
        <v>4171</v>
      </c>
      <c r="I93" s="133">
        <f>10750</f>
        <v>10750</v>
      </c>
      <c r="J93" s="133"/>
      <c r="K93" s="133"/>
      <c r="L93" s="133"/>
      <c r="M93" s="133"/>
      <c r="N93" s="133"/>
      <c r="O93" s="133"/>
      <c r="P93" s="133"/>
    </row>
    <row r="94" spans="1:16" ht="29.25" customHeight="1">
      <c r="A94" s="95" t="s">
        <v>662</v>
      </c>
      <c r="B94" s="93">
        <f t="shared" si="7"/>
        <v>22274</v>
      </c>
      <c r="C94" s="188">
        <f t="shared" si="4"/>
        <v>13126</v>
      </c>
      <c r="D94" s="188">
        <f>6180+4440</f>
        <v>10620</v>
      </c>
      <c r="E94" s="188">
        <f>1458+1048</f>
        <v>2506</v>
      </c>
      <c r="F94" s="188">
        <f t="shared" si="8"/>
        <v>9148</v>
      </c>
      <c r="G94" s="133"/>
      <c r="H94" s="133">
        <f>1515+2891+1987</f>
        <v>6393</v>
      </c>
      <c r="I94" s="133">
        <f>567+2060</f>
        <v>2627</v>
      </c>
      <c r="J94" s="133"/>
      <c r="K94" s="133">
        <v>128</v>
      </c>
      <c r="L94" s="133"/>
      <c r="M94" s="133"/>
      <c r="N94" s="133"/>
      <c r="O94" s="133"/>
      <c r="P94" s="133"/>
    </row>
    <row r="95" spans="1:16" ht="25.5" customHeight="1">
      <c r="A95" s="96" t="s">
        <v>93</v>
      </c>
      <c r="B95" s="93">
        <f t="shared" si="7"/>
        <v>201835</v>
      </c>
      <c r="C95" s="188">
        <f t="shared" si="4"/>
        <v>142535</v>
      </c>
      <c r="D95" s="197">
        <v>116270</v>
      </c>
      <c r="E95" s="197">
        <v>26265</v>
      </c>
      <c r="F95" s="188">
        <f t="shared" si="8"/>
        <v>59300</v>
      </c>
      <c r="G95" s="133"/>
      <c r="H95" s="133">
        <f>15690+20000+1500</f>
        <v>37190</v>
      </c>
      <c r="I95" s="133">
        <v>21910</v>
      </c>
      <c r="J95" s="133"/>
      <c r="K95" s="133">
        <v>200</v>
      </c>
      <c r="L95" s="133"/>
      <c r="M95" s="133"/>
      <c r="N95" s="135"/>
      <c r="O95" s="133"/>
      <c r="P95" s="133"/>
    </row>
    <row r="96" spans="1:16" ht="24.75" customHeight="1">
      <c r="A96" s="95" t="s">
        <v>257</v>
      </c>
      <c r="B96" s="93">
        <f t="shared" si="7"/>
        <v>33961</v>
      </c>
      <c r="C96" s="188">
        <f t="shared" si="4"/>
        <v>22484</v>
      </c>
      <c r="D96" s="188">
        <f>4548+13644</f>
        <v>18192</v>
      </c>
      <c r="E96" s="188">
        <f>1073+3219</f>
        <v>4292</v>
      </c>
      <c r="F96" s="188">
        <f t="shared" si="8"/>
        <v>11477</v>
      </c>
      <c r="G96" s="133"/>
      <c r="H96" s="133">
        <v>5654</v>
      </c>
      <c r="I96" s="133">
        <v>5823</v>
      </c>
      <c r="J96" s="133"/>
      <c r="K96" s="133"/>
      <c r="L96" s="133"/>
      <c r="M96" s="133"/>
      <c r="N96" s="133"/>
      <c r="O96" s="133"/>
      <c r="P96" s="133"/>
    </row>
    <row r="97" spans="1:16" ht="27" customHeight="1">
      <c r="A97" s="95" t="s">
        <v>16</v>
      </c>
      <c r="B97" s="93">
        <f t="shared" si="7"/>
        <v>111442</v>
      </c>
      <c r="C97" s="188">
        <f t="shared" si="9" ref="C97:C154">D97+E97</f>
        <v>84306</v>
      </c>
      <c r="D97" s="188">
        <v>74223</v>
      </c>
      <c r="E97" s="188">
        <v>10083</v>
      </c>
      <c r="F97" s="188">
        <f t="shared" si="8"/>
        <v>27136</v>
      </c>
      <c r="G97" s="133"/>
      <c r="H97" s="133">
        <v>14096</v>
      </c>
      <c r="I97" s="133">
        <v>12830</v>
      </c>
      <c r="J97" s="133"/>
      <c r="K97" s="133">
        <v>210</v>
      </c>
      <c r="L97" s="133"/>
      <c r="M97" s="133"/>
      <c r="N97" s="133">
        <v>0</v>
      </c>
      <c r="O97" s="133"/>
      <c r="P97" s="133"/>
    </row>
    <row r="98" spans="1:16" ht="31.5" customHeight="1">
      <c r="A98" s="95" t="s">
        <v>17</v>
      </c>
      <c r="B98" s="93">
        <f t="shared" si="7"/>
        <v>73539</v>
      </c>
      <c r="C98" s="188">
        <f t="shared" si="9"/>
        <v>38856</v>
      </c>
      <c r="D98" s="188">
        <v>31440</v>
      </c>
      <c r="E98" s="188">
        <v>7416</v>
      </c>
      <c r="F98" s="188">
        <f t="shared" si="8"/>
        <v>10849</v>
      </c>
      <c r="G98" s="133"/>
      <c r="H98" s="133">
        <v>6039</v>
      </c>
      <c r="I98" s="133">
        <v>4610</v>
      </c>
      <c r="J98" s="133"/>
      <c r="K98" s="133">
        <v>200</v>
      </c>
      <c r="L98" s="133"/>
      <c r="M98" s="133"/>
      <c r="N98" s="133">
        <f>14641+9193</f>
        <v>23834</v>
      </c>
      <c r="O98" s="133"/>
      <c r="P98" s="133"/>
    </row>
    <row r="99" spans="1:16" ht="23.25" customHeight="1">
      <c r="A99" s="95" t="s">
        <v>137</v>
      </c>
      <c r="B99" s="93">
        <f t="shared" si="7"/>
        <v>97562</v>
      </c>
      <c r="C99" s="188">
        <f t="shared" si="9"/>
        <v>44997</v>
      </c>
      <c r="D99" s="188">
        <f>25752+10656</f>
        <v>36408</v>
      </c>
      <c r="E99" s="188">
        <f>6075+2514</f>
        <v>8589</v>
      </c>
      <c r="F99" s="188">
        <f t="shared" si="8"/>
        <v>14205</v>
      </c>
      <c r="G99" s="133"/>
      <c r="H99" s="133">
        <v>5820</v>
      </c>
      <c r="I99" s="133">
        <v>8385</v>
      </c>
      <c r="J99" s="133"/>
      <c r="K99" s="112"/>
      <c r="L99" s="133"/>
      <c r="M99" s="133"/>
      <c r="N99" s="133">
        <v>38360</v>
      </c>
      <c r="O99" s="133"/>
      <c r="P99" s="133"/>
    </row>
    <row r="100" spans="1:16" ht="27.75" customHeight="1">
      <c r="A100" s="95" t="s">
        <v>18</v>
      </c>
      <c r="B100" s="93">
        <f t="shared" si="7"/>
        <v>101701</v>
      </c>
      <c r="C100" s="188">
        <f t="shared" si="9"/>
        <v>81038</v>
      </c>
      <c r="D100" s="188">
        <v>65570</v>
      </c>
      <c r="E100" s="188">
        <v>15468</v>
      </c>
      <c r="F100" s="188">
        <f t="shared" si="8"/>
        <v>20663</v>
      </c>
      <c r="G100" s="133"/>
      <c r="H100" s="133">
        <v>7892</v>
      </c>
      <c r="I100" s="133">
        <v>12571</v>
      </c>
      <c r="J100" s="133"/>
      <c r="K100" s="133">
        <v>200</v>
      </c>
      <c r="L100" s="133"/>
      <c r="M100" s="133"/>
      <c r="N100" s="133">
        <v>0</v>
      </c>
      <c r="O100" s="133"/>
      <c r="P100" s="133"/>
    </row>
    <row r="101" spans="1:16" ht="27.75" customHeight="1">
      <c r="A101" s="95" t="s">
        <v>660</v>
      </c>
      <c r="B101" s="93">
        <f t="shared" si="7"/>
        <v>19513</v>
      </c>
      <c r="C101" s="188">
        <f t="shared" si="9"/>
        <v>12977</v>
      </c>
      <c r="D101" s="188">
        <v>10500</v>
      </c>
      <c r="E101" s="188">
        <v>2477</v>
      </c>
      <c r="F101" s="188">
        <f t="shared" si="8"/>
        <v>6536</v>
      </c>
      <c r="G101" s="133"/>
      <c r="H101" s="133">
        <v>2000</v>
      </c>
      <c r="I101" s="133">
        <v>4536</v>
      </c>
      <c r="J101" s="133"/>
      <c r="K101" s="133"/>
      <c r="L101" s="133"/>
      <c r="M101" s="133"/>
      <c r="N101" s="133">
        <v>0</v>
      </c>
      <c r="O101" s="133"/>
      <c r="P101" s="133"/>
    </row>
    <row r="102" spans="1:16" ht="27.75" customHeight="1">
      <c r="A102" s="95" t="s">
        <v>661</v>
      </c>
      <c r="B102" s="93">
        <f t="shared" si="7"/>
        <v>35634</v>
      </c>
      <c r="C102" s="188">
        <f t="shared" si="9"/>
        <v>22231</v>
      </c>
      <c r="D102" s="188">
        <v>17988</v>
      </c>
      <c r="E102" s="188">
        <v>4243</v>
      </c>
      <c r="F102" s="188">
        <f t="shared" si="8"/>
        <v>13403</v>
      </c>
      <c r="G102" s="133"/>
      <c r="H102" s="133">
        <v>3226</v>
      </c>
      <c r="I102" s="133">
        <v>10177</v>
      </c>
      <c r="J102" s="133"/>
      <c r="K102" s="133"/>
      <c r="L102" s="133"/>
      <c r="M102" s="133"/>
      <c r="N102" s="133"/>
      <c r="O102" s="133"/>
      <c r="P102" s="133"/>
    </row>
    <row r="103" spans="1:16" ht="27.75" customHeight="1">
      <c r="A103" s="179" t="s">
        <v>667</v>
      </c>
      <c r="B103" s="186">
        <f t="shared" si="7"/>
        <v>257174</v>
      </c>
      <c r="C103" s="188">
        <f t="shared" si="9"/>
        <v>205666</v>
      </c>
      <c r="D103" s="188">
        <v>166302</v>
      </c>
      <c r="E103" s="188">
        <v>39364</v>
      </c>
      <c r="F103" s="188">
        <f t="shared" si="8"/>
        <v>51508</v>
      </c>
      <c r="G103" s="133"/>
      <c r="H103" s="133">
        <v>24893</v>
      </c>
      <c r="I103" s="133">
        <v>26615</v>
      </c>
      <c r="J103" s="133"/>
      <c r="K103" s="133"/>
      <c r="L103" s="133"/>
      <c r="M103" s="133"/>
      <c r="N103" s="133"/>
      <c r="O103" s="133"/>
      <c r="P103" s="133"/>
    </row>
    <row r="104" spans="1:16" ht="34.5" customHeight="1">
      <c r="A104" s="179" t="s">
        <v>739</v>
      </c>
      <c r="B104" s="186">
        <f t="shared" si="7"/>
        <v>86133</v>
      </c>
      <c r="C104" s="188"/>
      <c r="D104" s="188"/>
      <c r="E104" s="188"/>
      <c r="F104" s="188"/>
      <c r="G104" s="133"/>
      <c r="H104" s="133"/>
      <c r="I104" s="133"/>
      <c r="J104" s="133"/>
      <c r="K104" s="133"/>
      <c r="L104" s="133"/>
      <c r="M104" s="133"/>
      <c r="N104" s="133">
        <v>86133</v>
      </c>
      <c r="O104" s="133"/>
      <c r="P104" s="133"/>
    </row>
    <row r="105" spans="1:16" ht="24.75" customHeight="1">
      <c r="A105" s="179" t="s">
        <v>19</v>
      </c>
      <c r="B105" s="186">
        <f t="shared" si="7"/>
        <v>1780784</v>
      </c>
      <c r="C105" s="188">
        <f t="shared" si="9"/>
        <v>768343</v>
      </c>
      <c r="D105" s="188">
        <f>63323+125878+83468+125588+182072+19200</f>
        <v>599529</v>
      </c>
      <c r="E105" s="188">
        <f>18103+35692+23534+35372+50585+5528</f>
        <v>168814</v>
      </c>
      <c r="F105" s="188">
        <f t="shared" si="8"/>
        <v>966441</v>
      </c>
      <c r="G105" s="133">
        <f>8+64+8</f>
        <v>80</v>
      </c>
      <c r="H105" s="133">
        <f>32127+10254+88983+6111+389704+4791</f>
        <v>531970</v>
      </c>
      <c r="I105" s="133">
        <f>12032+24062+13870+10755+59360+211</f>
        <v>120290</v>
      </c>
      <c r="J105" s="133"/>
      <c r="K105" s="133">
        <f>59715+4644+59450+39200+150392+700</f>
        <v>314101</v>
      </c>
      <c r="L105" s="133"/>
      <c r="M105" s="133"/>
      <c r="N105" s="133">
        <f>4800+12000+29200</f>
        <v>46000</v>
      </c>
      <c r="O105" s="133"/>
      <c r="P105" s="133"/>
    </row>
    <row r="106" spans="1:16" ht="30" customHeight="1">
      <c r="A106" s="179" t="s">
        <v>121</v>
      </c>
      <c r="B106" s="186">
        <f t="shared" si="7"/>
        <v>82437</v>
      </c>
      <c r="C106" s="188">
        <f t="shared" si="9"/>
        <v>0</v>
      </c>
      <c r="D106" s="188"/>
      <c r="E106" s="188"/>
      <c r="F106" s="188">
        <f>SUM(G106:K106)</f>
        <v>82437</v>
      </c>
      <c r="G106" s="133"/>
      <c r="H106" s="133">
        <f>31130+48807</f>
        <v>79937</v>
      </c>
      <c r="I106" s="133">
        <v>2500</v>
      </c>
      <c r="J106" s="133"/>
      <c r="K106" s="133"/>
      <c r="L106" s="133"/>
      <c r="M106" s="133"/>
      <c r="N106" s="133"/>
      <c r="O106" s="133"/>
      <c r="P106" s="133"/>
    </row>
    <row r="107" spans="1:16" ht="38.45" customHeight="1">
      <c r="A107" s="179" t="s">
        <v>632</v>
      </c>
      <c r="B107" s="186">
        <f>SUM(C107+F107,L107:P107)</f>
        <v>489063</v>
      </c>
      <c r="C107" s="188">
        <f t="shared" si="9"/>
        <v>358464</v>
      </c>
      <c r="D107" s="188">
        <v>289800</v>
      </c>
      <c r="E107" s="188">
        <v>68664</v>
      </c>
      <c r="F107" s="188">
        <f>SUM(G107:K107)</f>
        <v>129699</v>
      </c>
      <c r="G107" s="133">
        <v>25</v>
      </c>
      <c r="H107" s="133">
        <f>41988+4000+3000</f>
        <v>48988</v>
      </c>
      <c r="I107" s="133">
        <f>74686+6000</f>
        <v>80686</v>
      </c>
      <c r="J107" s="133"/>
      <c r="K107" s="133"/>
      <c r="L107" s="133"/>
      <c r="M107" s="133"/>
      <c r="N107" s="133">
        <v>900</v>
      </c>
      <c r="O107" s="133"/>
      <c r="P107" s="133"/>
    </row>
    <row r="108" spans="1:16" ht="30" customHeight="1">
      <c r="A108" s="179" t="s">
        <v>750</v>
      </c>
      <c r="B108" s="186">
        <f t="shared" si="7"/>
        <v>59684</v>
      </c>
      <c r="C108" s="188">
        <f t="shared" si="9"/>
        <v>33324</v>
      </c>
      <c r="D108" s="188">
        <v>27200</v>
      </c>
      <c r="E108" s="188">
        <v>6124</v>
      </c>
      <c r="F108" s="188">
        <f t="shared" si="10" ref="F108:F128">SUM(G108:K108)</f>
        <v>26360</v>
      </c>
      <c r="G108" s="133"/>
      <c r="H108" s="133">
        <v>1710</v>
      </c>
      <c r="I108" s="133">
        <f>25050-400</f>
        <v>24650</v>
      </c>
      <c r="J108" s="133"/>
      <c r="K108" s="133"/>
      <c r="L108" s="133"/>
      <c r="M108" s="133"/>
      <c r="N108" s="133"/>
      <c r="O108" s="133"/>
      <c r="P108" s="133"/>
    </row>
    <row r="109" spans="1:16" ht="30" customHeight="1">
      <c r="A109" s="95" t="s">
        <v>751</v>
      </c>
      <c r="B109" s="93">
        <f t="shared" si="7"/>
        <v>136853</v>
      </c>
      <c r="C109" s="188">
        <f t="shared" si="9"/>
        <v>30359</v>
      </c>
      <c r="D109" s="188">
        <v>24564</v>
      </c>
      <c r="E109" s="188">
        <v>5795</v>
      </c>
      <c r="F109" s="188">
        <f t="shared" si="10"/>
        <v>106494</v>
      </c>
      <c r="G109" s="133"/>
      <c r="H109" s="133">
        <v>7650</v>
      </c>
      <c r="I109" s="133">
        <v>98844</v>
      </c>
      <c r="J109" s="133"/>
      <c r="K109" s="133"/>
      <c r="L109" s="133"/>
      <c r="M109" s="133"/>
      <c r="N109" s="133"/>
      <c r="O109" s="133"/>
      <c r="P109" s="133"/>
    </row>
    <row r="110" spans="1:16" ht="30" customHeight="1">
      <c r="A110" s="95" t="s">
        <v>755</v>
      </c>
      <c r="B110" s="93">
        <f t="shared" si="7"/>
        <v>47545</v>
      </c>
      <c r="C110" s="188">
        <f t="shared" si="9"/>
        <v>36635</v>
      </c>
      <c r="D110" s="188">
        <v>29642</v>
      </c>
      <c r="E110" s="188">
        <v>6993</v>
      </c>
      <c r="F110" s="188">
        <f t="shared" si="10"/>
        <v>10910</v>
      </c>
      <c r="G110" s="133"/>
      <c r="H110" s="133"/>
      <c r="I110" s="133">
        <f>10760-150</f>
        <v>10610</v>
      </c>
      <c r="J110" s="133"/>
      <c r="K110" s="133">
        <v>300</v>
      </c>
      <c r="L110" s="133"/>
      <c r="M110" s="133"/>
      <c r="N110" s="133"/>
      <c r="O110" s="133"/>
      <c r="P110" s="133"/>
    </row>
    <row r="111" spans="1:16" ht="30" customHeight="1">
      <c r="A111" s="95" t="s">
        <v>753</v>
      </c>
      <c r="B111" s="93">
        <f t="shared" si="7"/>
        <v>63299</v>
      </c>
      <c r="C111" s="188">
        <f t="shared" si="9"/>
        <v>34089</v>
      </c>
      <c r="D111" s="188">
        <v>27829</v>
      </c>
      <c r="E111" s="188">
        <v>6260</v>
      </c>
      <c r="F111" s="188">
        <f t="shared" si="10"/>
        <v>29210</v>
      </c>
      <c r="G111" s="133"/>
      <c r="H111" s="133">
        <f>4360-800</f>
        <v>3560</v>
      </c>
      <c r="I111" s="133">
        <v>25020</v>
      </c>
      <c r="J111" s="133"/>
      <c r="K111" s="133">
        <v>630</v>
      </c>
      <c r="L111" s="133"/>
      <c r="M111" s="133"/>
      <c r="N111" s="133"/>
      <c r="O111" s="133"/>
      <c r="P111" s="133"/>
    </row>
    <row r="112" spans="1:16" ht="30" customHeight="1">
      <c r="A112" s="95" t="s">
        <v>754</v>
      </c>
      <c r="B112" s="93">
        <f t="shared" si="7"/>
        <v>31761</v>
      </c>
      <c r="C112" s="188">
        <f t="shared" si="9"/>
        <v>24323</v>
      </c>
      <c r="D112" s="188">
        <v>19684</v>
      </c>
      <c r="E112" s="188">
        <v>4639</v>
      </c>
      <c r="F112" s="188">
        <f t="shared" si="10"/>
        <v>7438</v>
      </c>
      <c r="G112" s="133"/>
      <c r="H112" s="133">
        <v>1770</v>
      </c>
      <c r="I112" s="133">
        <v>5418</v>
      </c>
      <c r="J112" s="133"/>
      <c r="K112" s="133">
        <v>250</v>
      </c>
      <c r="L112" s="133"/>
      <c r="M112" s="133"/>
      <c r="N112" s="133"/>
      <c r="O112" s="133"/>
      <c r="P112" s="133"/>
    </row>
    <row r="113" spans="1:16" ht="38.25" customHeight="1">
      <c r="A113" s="95" t="s">
        <v>76</v>
      </c>
      <c r="B113" s="93">
        <f t="shared" si="7"/>
        <v>143931</v>
      </c>
      <c r="C113" s="188">
        <f t="shared" si="9"/>
        <v>73420</v>
      </c>
      <c r="D113" s="188">
        <v>59366</v>
      </c>
      <c r="E113" s="188">
        <v>14054</v>
      </c>
      <c r="F113" s="188">
        <f t="shared" si="10"/>
        <v>64511</v>
      </c>
      <c r="G113" s="133"/>
      <c r="H113" s="133">
        <v>4644</v>
      </c>
      <c r="I113" s="133">
        <f>50780+8200</f>
        <v>58980</v>
      </c>
      <c r="J113" s="133"/>
      <c r="K113" s="133">
        <v>887</v>
      </c>
      <c r="L113" s="133"/>
      <c r="M113" s="133"/>
      <c r="N113" s="133">
        <v>6000</v>
      </c>
      <c r="O113" s="133"/>
      <c r="P113" s="133"/>
    </row>
    <row r="114" spans="1:16" ht="35.25" customHeight="1">
      <c r="A114" s="95" t="s">
        <v>709</v>
      </c>
      <c r="B114" s="93">
        <f t="shared" si="7"/>
        <v>104867</v>
      </c>
      <c r="C114" s="188">
        <f t="shared" si="9"/>
        <v>36208</v>
      </c>
      <c r="D114" s="188">
        <v>29297</v>
      </c>
      <c r="E114" s="188">
        <v>6911</v>
      </c>
      <c r="F114" s="188">
        <f t="shared" si="10"/>
        <v>68659</v>
      </c>
      <c r="G114" s="133"/>
      <c r="H114" s="133">
        <v>8024</v>
      </c>
      <c r="I114" s="133">
        <v>60035</v>
      </c>
      <c r="J114" s="133"/>
      <c r="K114" s="133">
        <v>600</v>
      </c>
      <c r="L114" s="133"/>
      <c r="M114" s="133"/>
      <c r="N114" s="133"/>
      <c r="O114" s="133"/>
      <c r="P114" s="133"/>
    </row>
    <row r="115" spans="1:16" ht="24.75" customHeight="1">
      <c r="A115" s="94" t="s">
        <v>143</v>
      </c>
      <c r="B115" s="93">
        <f t="shared" si="7"/>
        <v>3100</v>
      </c>
      <c r="C115" s="188">
        <f t="shared" si="9"/>
        <v>0</v>
      </c>
      <c r="D115" s="188"/>
      <c r="E115" s="188"/>
      <c r="F115" s="188">
        <f t="shared" si="10"/>
        <v>3100</v>
      </c>
      <c r="G115" s="133"/>
      <c r="H115" s="133">
        <v>2460</v>
      </c>
      <c r="I115" s="133">
        <v>440</v>
      </c>
      <c r="J115" s="133"/>
      <c r="K115" s="133">
        <v>200</v>
      </c>
      <c r="L115" s="133"/>
      <c r="M115" s="133"/>
      <c r="N115" s="133"/>
      <c r="O115" s="133"/>
      <c r="P115" s="133"/>
    </row>
    <row r="116" spans="1:16" ht="24.75" customHeight="1">
      <c r="A116" s="94" t="s">
        <v>142</v>
      </c>
      <c r="B116" s="93">
        <f t="shared" si="7"/>
        <v>12131</v>
      </c>
      <c r="C116" s="188">
        <f t="shared" si="9"/>
        <v>0</v>
      </c>
      <c r="D116" s="188"/>
      <c r="E116" s="188"/>
      <c r="F116" s="188">
        <f t="shared" si="10"/>
        <v>12131</v>
      </c>
      <c r="G116" s="133"/>
      <c r="H116" s="133">
        <v>8817</v>
      </c>
      <c r="I116" s="133">
        <v>3314</v>
      </c>
      <c r="J116" s="133"/>
      <c r="K116" s="133"/>
      <c r="L116" s="133"/>
      <c r="M116" s="133"/>
      <c r="N116" s="133"/>
      <c r="O116" s="133"/>
      <c r="P116" s="133"/>
    </row>
    <row r="117" spans="1:16" ht="27.75" customHeight="1">
      <c r="A117" s="95" t="s">
        <v>669</v>
      </c>
      <c r="B117" s="93">
        <f t="shared" si="7"/>
        <v>6391</v>
      </c>
      <c r="C117" s="188">
        <f t="shared" si="9"/>
        <v>0</v>
      </c>
      <c r="D117" s="188"/>
      <c r="E117" s="188"/>
      <c r="F117" s="188">
        <f t="shared" si="10"/>
        <v>6391</v>
      </c>
      <c r="G117" s="133"/>
      <c r="H117" s="133">
        <f>5641</f>
        <v>5641</v>
      </c>
      <c r="I117" s="133">
        <v>350</v>
      </c>
      <c r="J117" s="133"/>
      <c r="K117" s="133">
        <v>400</v>
      </c>
      <c r="L117" s="133"/>
      <c r="M117" s="133"/>
      <c r="N117" s="133"/>
      <c r="O117" s="133"/>
      <c r="P117" s="133"/>
    </row>
    <row r="118" spans="1:16" ht="30" customHeight="1">
      <c r="A118" s="95" t="s">
        <v>670</v>
      </c>
      <c r="B118" s="93">
        <f t="shared" si="7"/>
        <v>12640</v>
      </c>
      <c r="C118" s="188">
        <f t="shared" si="9"/>
        <v>0</v>
      </c>
      <c r="D118" s="188"/>
      <c r="E118" s="188"/>
      <c r="F118" s="188">
        <f t="shared" si="10"/>
        <v>12640</v>
      </c>
      <c r="G118" s="133"/>
      <c r="H118" s="133">
        <f>7840+3500</f>
        <v>11340</v>
      </c>
      <c r="I118" s="133">
        <v>700</v>
      </c>
      <c r="J118" s="133"/>
      <c r="K118" s="133">
        <v>600</v>
      </c>
      <c r="L118" s="133"/>
      <c r="M118" s="133"/>
      <c r="N118" s="133"/>
      <c r="O118" s="133"/>
      <c r="P118" s="133"/>
    </row>
    <row r="119" spans="1:16" ht="30" customHeight="1">
      <c r="A119" s="95" t="s">
        <v>671</v>
      </c>
      <c r="B119" s="93">
        <f t="shared" si="7"/>
        <v>7210</v>
      </c>
      <c r="C119" s="188">
        <f t="shared" si="9"/>
        <v>0</v>
      </c>
      <c r="D119" s="188"/>
      <c r="E119" s="188"/>
      <c r="F119" s="188">
        <f t="shared" si="10"/>
        <v>7210</v>
      </c>
      <c r="G119" s="133"/>
      <c r="H119" s="133">
        <v>5830</v>
      </c>
      <c r="I119" s="133">
        <v>1160</v>
      </c>
      <c r="J119" s="133"/>
      <c r="K119" s="133">
        <v>220</v>
      </c>
      <c r="L119" s="133"/>
      <c r="M119" s="133"/>
      <c r="N119" s="133"/>
      <c r="O119" s="133"/>
      <c r="P119" s="133"/>
    </row>
    <row r="120" spans="1:16" ht="30" customHeight="1">
      <c r="A120" s="95" t="s">
        <v>672</v>
      </c>
      <c r="B120" s="93">
        <f t="shared" si="7"/>
        <v>4950</v>
      </c>
      <c r="C120" s="188">
        <f t="shared" si="9"/>
        <v>0</v>
      </c>
      <c r="D120" s="188"/>
      <c r="E120" s="188"/>
      <c r="F120" s="188">
        <f t="shared" si="10"/>
        <v>4950</v>
      </c>
      <c r="G120" s="133"/>
      <c r="H120" s="133">
        <v>3900</v>
      </c>
      <c r="I120" s="133">
        <v>900</v>
      </c>
      <c r="J120" s="133"/>
      <c r="K120" s="133">
        <v>150</v>
      </c>
      <c r="L120" s="133"/>
      <c r="M120" s="133"/>
      <c r="N120" s="133"/>
      <c r="O120" s="133"/>
      <c r="P120" s="133"/>
    </row>
    <row r="121" spans="1:16" ht="30" customHeight="1">
      <c r="A121" s="95" t="s">
        <v>673</v>
      </c>
      <c r="B121" s="93">
        <f t="shared" si="7"/>
        <v>16500</v>
      </c>
      <c r="C121" s="188">
        <f t="shared" si="9"/>
        <v>0</v>
      </c>
      <c r="D121" s="188"/>
      <c r="E121" s="188"/>
      <c r="F121" s="188">
        <f t="shared" si="10"/>
        <v>6500</v>
      </c>
      <c r="G121" s="133"/>
      <c r="H121" s="133">
        <v>4898</v>
      </c>
      <c r="I121" s="133">
        <v>1172</v>
      </c>
      <c r="J121" s="133"/>
      <c r="K121" s="133">
        <v>430</v>
      </c>
      <c r="L121" s="133"/>
      <c r="M121" s="133"/>
      <c r="N121" s="133">
        <v>10000</v>
      </c>
      <c r="O121" s="133"/>
      <c r="P121" s="133"/>
    </row>
    <row r="122" spans="1:16" ht="30" customHeight="1">
      <c r="A122" s="95" t="s">
        <v>674</v>
      </c>
      <c r="B122" s="93">
        <f t="shared" si="7"/>
        <v>7000</v>
      </c>
      <c r="C122" s="188">
        <f t="shared" si="9"/>
        <v>0</v>
      </c>
      <c r="D122" s="188"/>
      <c r="E122" s="188"/>
      <c r="F122" s="188">
        <f t="shared" si="10"/>
        <v>7000</v>
      </c>
      <c r="G122" s="133"/>
      <c r="H122" s="133">
        <v>4950</v>
      </c>
      <c r="I122" s="133">
        <v>1700</v>
      </c>
      <c r="J122" s="133"/>
      <c r="K122" s="133">
        <v>350</v>
      </c>
      <c r="L122" s="133"/>
      <c r="M122" s="133"/>
      <c r="N122" s="133"/>
      <c r="O122" s="133"/>
      <c r="P122" s="133"/>
    </row>
    <row r="123" spans="1:16" ht="23.25" customHeight="1">
      <c r="A123" s="175" t="s">
        <v>94</v>
      </c>
      <c r="B123" s="93">
        <f t="shared" si="7"/>
        <v>10350</v>
      </c>
      <c r="C123" s="188">
        <f t="shared" si="9"/>
        <v>0</v>
      </c>
      <c r="D123" s="198"/>
      <c r="E123" s="198"/>
      <c r="F123" s="188">
        <f>SUM(G123:K123)</f>
        <v>10350</v>
      </c>
      <c r="G123" s="133"/>
      <c r="H123" s="133">
        <v>6990</v>
      </c>
      <c r="I123" s="133">
        <v>2800</v>
      </c>
      <c r="J123" s="133"/>
      <c r="K123" s="133">
        <v>560</v>
      </c>
      <c r="L123" s="133"/>
      <c r="M123" s="133"/>
      <c r="N123" s="136"/>
      <c r="O123" s="133"/>
      <c r="P123" s="133"/>
    </row>
    <row r="124" spans="1:16" ht="30" customHeight="1">
      <c r="A124" s="95" t="s">
        <v>675</v>
      </c>
      <c r="B124" s="93">
        <f t="shared" si="7"/>
        <v>3460</v>
      </c>
      <c r="C124" s="188">
        <f t="shared" si="9"/>
        <v>0</v>
      </c>
      <c r="D124" s="197"/>
      <c r="E124" s="197"/>
      <c r="F124" s="188">
        <f t="shared" si="10"/>
        <v>3460</v>
      </c>
      <c r="G124" s="133"/>
      <c r="H124" s="133">
        <v>2830</v>
      </c>
      <c r="I124" s="133">
        <v>540</v>
      </c>
      <c r="J124" s="133"/>
      <c r="K124" s="133">
        <v>90</v>
      </c>
      <c r="L124" s="133"/>
      <c r="M124" s="133"/>
      <c r="N124" s="134"/>
      <c r="O124" s="133"/>
      <c r="P124" s="133"/>
    </row>
    <row r="125" spans="1:16" ht="30" customHeight="1">
      <c r="A125" s="95" t="s">
        <v>676</v>
      </c>
      <c r="B125" s="93">
        <f t="shared" si="7"/>
        <v>8636</v>
      </c>
      <c r="C125" s="188">
        <f t="shared" si="9"/>
        <v>0</v>
      </c>
      <c r="D125" s="188"/>
      <c r="E125" s="188"/>
      <c r="F125" s="188">
        <f t="shared" si="10"/>
        <v>7036</v>
      </c>
      <c r="G125" s="133"/>
      <c r="H125" s="133">
        <v>4953</v>
      </c>
      <c r="I125" s="133">
        <v>1860</v>
      </c>
      <c r="J125" s="133"/>
      <c r="K125" s="133">
        <v>223</v>
      </c>
      <c r="L125" s="133"/>
      <c r="M125" s="133"/>
      <c r="N125" s="133">
        <v>1600</v>
      </c>
      <c r="O125" s="133"/>
      <c r="P125" s="133"/>
    </row>
    <row r="126" spans="1:16" ht="30" customHeight="1">
      <c r="A126" s="95" t="s">
        <v>677</v>
      </c>
      <c r="B126" s="93">
        <f t="shared" si="7"/>
        <v>3800</v>
      </c>
      <c r="C126" s="188">
        <f t="shared" si="9"/>
        <v>0</v>
      </c>
      <c r="D126" s="188"/>
      <c r="E126" s="188"/>
      <c r="F126" s="188">
        <f t="shared" si="10"/>
        <v>3800</v>
      </c>
      <c r="G126" s="133"/>
      <c r="H126" s="133">
        <v>3111</v>
      </c>
      <c r="I126" s="133">
        <v>339</v>
      </c>
      <c r="J126" s="133"/>
      <c r="K126" s="133">
        <v>350</v>
      </c>
      <c r="L126" s="133"/>
      <c r="M126" s="133"/>
      <c r="N126" s="133"/>
      <c r="O126" s="133"/>
      <c r="P126" s="133"/>
    </row>
    <row r="127" spans="1:16" ht="26.25" customHeight="1">
      <c r="A127" s="96" t="s">
        <v>95</v>
      </c>
      <c r="B127" s="93">
        <f t="shared" si="7"/>
        <v>9900</v>
      </c>
      <c r="C127" s="188">
        <f t="shared" si="9"/>
        <v>0</v>
      </c>
      <c r="D127" s="197"/>
      <c r="E127" s="197"/>
      <c r="F127" s="188">
        <f t="shared" si="10"/>
        <v>9900</v>
      </c>
      <c r="G127" s="133"/>
      <c r="H127" s="133">
        <v>6350</v>
      </c>
      <c r="I127" s="133">
        <v>2950</v>
      </c>
      <c r="J127" s="133"/>
      <c r="K127" s="133">
        <v>600</v>
      </c>
      <c r="L127" s="133"/>
      <c r="M127" s="133"/>
      <c r="N127" s="135"/>
      <c r="O127" s="133"/>
      <c r="P127" s="133"/>
    </row>
    <row r="128" spans="1:16" ht="30" customHeight="1">
      <c r="A128" s="95" t="s">
        <v>678</v>
      </c>
      <c r="B128" s="93">
        <f t="shared" si="7"/>
        <v>3600</v>
      </c>
      <c r="C128" s="188">
        <f t="shared" si="9"/>
        <v>0</v>
      </c>
      <c r="D128" s="188"/>
      <c r="E128" s="188"/>
      <c r="F128" s="188">
        <f t="shared" si="10"/>
        <v>3600</v>
      </c>
      <c r="G128" s="133"/>
      <c r="H128" s="133">
        <v>2600</v>
      </c>
      <c r="I128" s="133">
        <v>713</v>
      </c>
      <c r="J128" s="133"/>
      <c r="K128" s="133">
        <v>287</v>
      </c>
      <c r="L128" s="133"/>
      <c r="M128" s="133"/>
      <c r="N128" s="133"/>
      <c r="O128" s="133"/>
      <c r="P128" s="133"/>
    </row>
    <row r="129" spans="1:16" ht="21" customHeight="1">
      <c r="A129" s="95" t="s">
        <v>679</v>
      </c>
      <c r="B129" s="93">
        <f t="shared" si="7"/>
        <v>9660</v>
      </c>
      <c r="C129" s="188">
        <f t="shared" si="9"/>
        <v>0</v>
      </c>
      <c r="D129" s="188"/>
      <c r="E129" s="188"/>
      <c r="F129" s="188">
        <f t="shared" si="11" ref="F129:F148">SUM(G129:K129)</f>
        <v>9660</v>
      </c>
      <c r="G129" s="133"/>
      <c r="H129" s="133">
        <v>7811</v>
      </c>
      <c r="I129" s="133">
        <v>984</v>
      </c>
      <c r="J129" s="133"/>
      <c r="K129" s="133">
        <v>865</v>
      </c>
      <c r="L129" s="133"/>
      <c r="M129" s="133"/>
      <c r="N129" s="133"/>
      <c r="O129" s="133"/>
      <c r="P129" s="133"/>
    </row>
    <row r="130" spans="1:16" ht="30" customHeight="1">
      <c r="A130" s="95" t="s">
        <v>680</v>
      </c>
      <c r="B130" s="93">
        <f t="shared" si="7"/>
        <v>3605</v>
      </c>
      <c r="C130" s="188">
        <f t="shared" si="9"/>
        <v>0</v>
      </c>
      <c r="D130" s="188"/>
      <c r="E130" s="188"/>
      <c r="F130" s="188">
        <f t="shared" si="11"/>
        <v>3605</v>
      </c>
      <c r="G130" s="133"/>
      <c r="H130" s="133">
        <v>1840</v>
      </c>
      <c r="I130" s="133">
        <v>1560</v>
      </c>
      <c r="J130" s="133"/>
      <c r="K130" s="133">
        <v>205</v>
      </c>
      <c r="L130" s="133"/>
      <c r="M130" s="133"/>
      <c r="N130" s="133"/>
      <c r="O130" s="133"/>
      <c r="P130" s="133"/>
    </row>
    <row r="131" spans="1:16" ht="30" customHeight="1">
      <c r="A131" s="95" t="s">
        <v>681</v>
      </c>
      <c r="B131" s="93">
        <f t="shared" si="7"/>
        <v>4950</v>
      </c>
      <c r="C131" s="188">
        <f t="shared" si="9"/>
        <v>0</v>
      </c>
      <c r="D131" s="188"/>
      <c r="E131" s="188"/>
      <c r="F131" s="188">
        <f t="shared" si="11"/>
        <v>4950</v>
      </c>
      <c r="G131" s="133"/>
      <c r="H131" s="133">
        <v>4300</v>
      </c>
      <c r="I131" s="133">
        <v>650</v>
      </c>
      <c r="J131" s="133"/>
      <c r="K131" s="133"/>
      <c r="L131" s="133"/>
      <c r="M131" s="133"/>
      <c r="N131" s="133"/>
      <c r="O131" s="133"/>
      <c r="P131" s="133"/>
    </row>
    <row r="132" spans="1:16" ht="30" customHeight="1">
      <c r="A132" s="95" t="s">
        <v>682</v>
      </c>
      <c r="B132" s="93">
        <f t="shared" si="7"/>
        <v>3642</v>
      </c>
      <c r="C132" s="188">
        <f t="shared" si="9"/>
        <v>0</v>
      </c>
      <c r="D132" s="188"/>
      <c r="E132" s="188"/>
      <c r="F132" s="188">
        <f t="shared" si="11"/>
        <v>3642</v>
      </c>
      <c r="G132" s="133"/>
      <c r="H132" s="133">
        <v>3250</v>
      </c>
      <c r="I132" s="133">
        <v>292</v>
      </c>
      <c r="J132" s="133"/>
      <c r="K132" s="133">
        <v>100</v>
      </c>
      <c r="L132" s="133"/>
      <c r="M132" s="133"/>
      <c r="N132" s="133"/>
      <c r="O132" s="133"/>
      <c r="P132" s="133"/>
    </row>
    <row r="133" spans="1:16" ht="30" customHeight="1">
      <c r="A133" s="125" t="s">
        <v>683</v>
      </c>
      <c r="B133" s="93">
        <f t="shared" si="7"/>
        <v>30795</v>
      </c>
      <c r="C133" s="188">
        <f t="shared" si="9"/>
        <v>22926</v>
      </c>
      <c r="D133" s="188">
        <v>18550</v>
      </c>
      <c r="E133" s="188">
        <v>4376</v>
      </c>
      <c r="F133" s="188">
        <f>SUM(G133:K133)</f>
        <v>7869</v>
      </c>
      <c r="G133" s="133"/>
      <c r="H133" s="133">
        <v>3299</v>
      </c>
      <c r="I133" s="133">
        <v>2970</v>
      </c>
      <c r="J133" s="133"/>
      <c r="K133" s="133">
        <v>1600</v>
      </c>
      <c r="L133" s="133"/>
      <c r="M133" s="133"/>
      <c r="N133" s="133"/>
      <c r="O133" s="133"/>
      <c r="P133" s="133"/>
    </row>
    <row r="134" spans="1:16" ht="30" customHeight="1">
      <c r="A134" s="95" t="s">
        <v>684</v>
      </c>
      <c r="B134" s="93">
        <f t="shared" si="7"/>
        <v>3200</v>
      </c>
      <c r="C134" s="188">
        <f t="shared" si="9"/>
        <v>0</v>
      </c>
      <c r="D134" s="188"/>
      <c r="E134" s="188"/>
      <c r="F134" s="188">
        <f t="shared" si="11"/>
        <v>3200</v>
      </c>
      <c r="G134" s="133"/>
      <c r="H134" s="133">
        <v>2260</v>
      </c>
      <c r="I134" s="133">
        <v>640</v>
      </c>
      <c r="J134" s="133"/>
      <c r="K134" s="133">
        <v>300</v>
      </c>
      <c r="L134" s="133"/>
      <c r="M134" s="133"/>
      <c r="N134" s="133"/>
      <c r="O134" s="133"/>
      <c r="P134" s="133"/>
    </row>
    <row r="135" spans="1:16" ht="30" customHeight="1">
      <c r="A135" s="95" t="s">
        <v>685</v>
      </c>
      <c r="B135" s="93">
        <f t="shared" si="7"/>
        <v>13405</v>
      </c>
      <c r="C135" s="188">
        <f t="shared" si="9"/>
        <v>10975</v>
      </c>
      <c r="D135" s="188">
        <v>8880</v>
      </c>
      <c r="E135" s="188">
        <v>2095</v>
      </c>
      <c r="F135" s="188">
        <f t="shared" si="11"/>
        <v>2430</v>
      </c>
      <c r="G135" s="133"/>
      <c r="H135" s="133">
        <v>1059</v>
      </c>
      <c r="I135" s="133">
        <v>920</v>
      </c>
      <c r="J135" s="133"/>
      <c r="K135" s="133">
        <v>451</v>
      </c>
      <c r="L135" s="133"/>
      <c r="M135" s="133"/>
      <c r="N135" s="133"/>
      <c r="O135" s="133"/>
      <c r="P135" s="133"/>
    </row>
    <row r="136" spans="1:16" ht="15" customHeight="1">
      <c r="A136" s="95" t="s">
        <v>212</v>
      </c>
      <c r="B136" s="93">
        <f t="shared" si="7"/>
        <v>15243</v>
      </c>
      <c r="C136" s="188">
        <f t="shared" si="9"/>
        <v>11519</v>
      </c>
      <c r="D136" s="188">
        <f>8328+888</f>
        <v>9216</v>
      </c>
      <c r="E136" s="188">
        <f>1965+338</f>
        <v>2303</v>
      </c>
      <c r="F136" s="199">
        <f>SUM(G136:P136)</f>
        <v>3724</v>
      </c>
      <c r="G136" s="133"/>
      <c r="H136" s="133">
        <v>877</v>
      </c>
      <c r="I136" s="133">
        <f>1726+1121</f>
        <v>2847</v>
      </c>
      <c r="J136" s="133"/>
      <c r="K136" s="133"/>
      <c r="L136" s="133"/>
      <c r="M136" s="133"/>
      <c r="N136" s="133"/>
      <c r="O136" s="133"/>
      <c r="P136" s="133"/>
    </row>
    <row r="137" spans="1:16" ht="15" customHeight="1">
      <c r="A137" s="95" t="s">
        <v>749</v>
      </c>
      <c r="B137" s="93">
        <f t="shared" si="7"/>
        <v>15143</v>
      </c>
      <c r="C137" s="188">
        <f t="shared" si="9"/>
        <v>10293</v>
      </c>
      <c r="D137" s="188">
        <v>8328</v>
      </c>
      <c r="E137" s="188">
        <v>1965</v>
      </c>
      <c r="F137" s="188">
        <f>SUM(G137:K137)</f>
        <v>4850</v>
      </c>
      <c r="G137" s="133"/>
      <c r="H137" s="133">
        <f>1479+50</f>
        <v>1529</v>
      </c>
      <c r="I137" s="133">
        <f>1124+2197</f>
        <v>3321</v>
      </c>
      <c r="J137" s="133"/>
      <c r="K137" s="133"/>
      <c r="L137" s="133"/>
      <c r="M137" s="133"/>
      <c r="N137" s="133"/>
      <c r="O137" s="133"/>
      <c r="P137" s="133"/>
    </row>
    <row r="138" spans="1:16" ht="15" customHeight="1">
      <c r="A138" s="95" t="s">
        <v>214</v>
      </c>
      <c r="B138" s="93">
        <f t="shared" si="7"/>
        <v>15143</v>
      </c>
      <c r="C138" s="188">
        <f t="shared" si="9"/>
        <v>11308</v>
      </c>
      <c r="D138" s="188">
        <v>9363</v>
      </c>
      <c r="E138" s="188">
        <v>1945</v>
      </c>
      <c r="F138" s="188">
        <f t="shared" si="11"/>
        <v>3835</v>
      </c>
      <c r="G138" s="133"/>
      <c r="H138" s="133">
        <v>1217</v>
      </c>
      <c r="I138" s="133">
        <f>850+1768</f>
        <v>2618</v>
      </c>
      <c r="J138" s="133"/>
      <c r="K138" s="133"/>
      <c r="L138" s="133"/>
      <c r="M138" s="133"/>
      <c r="N138" s="133">
        <v>0</v>
      </c>
      <c r="O138" s="133"/>
      <c r="P138" s="133"/>
    </row>
    <row r="139" spans="1:16" ht="15" customHeight="1">
      <c r="A139" s="95" t="s">
        <v>748</v>
      </c>
      <c r="B139" s="93">
        <f t="shared" si="7"/>
        <v>15143</v>
      </c>
      <c r="C139" s="188">
        <f t="shared" si="9"/>
        <v>10293</v>
      </c>
      <c r="D139" s="188">
        <v>8328</v>
      </c>
      <c r="E139" s="188">
        <v>1965</v>
      </c>
      <c r="F139" s="188">
        <f t="shared" si="11"/>
        <v>4850</v>
      </c>
      <c r="G139" s="133"/>
      <c r="H139" s="133">
        <f>1277+550</f>
        <v>1827</v>
      </c>
      <c r="I139" s="133">
        <f>826+2197</f>
        <v>3023</v>
      </c>
      <c r="J139" s="133"/>
      <c r="K139" s="133"/>
      <c r="L139" s="133"/>
      <c r="M139" s="133"/>
      <c r="N139" s="133">
        <v>0</v>
      </c>
      <c r="O139" s="133"/>
      <c r="P139" s="133"/>
    </row>
    <row r="140" spans="1:16" ht="15" customHeight="1">
      <c r="A140" s="95" t="s">
        <v>215</v>
      </c>
      <c r="B140" s="93">
        <f t="shared" si="7"/>
        <v>15143</v>
      </c>
      <c r="C140" s="188">
        <f t="shared" si="9"/>
        <v>10421</v>
      </c>
      <c r="D140" s="188">
        <v>8328</v>
      </c>
      <c r="E140" s="188">
        <v>2093</v>
      </c>
      <c r="F140" s="188">
        <f t="shared" si="11"/>
        <v>4722</v>
      </c>
      <c r="G140" s="133"/>
      <c r="H140" s="133">
        <v>1197</v>
      </c>
      <c r="I140" s="133">
        <f>1406+2119</f>
        <v>3525</v>
      </c>
      <c r="J140" s="133"/>
      <c r="K140" s="133"/>
      <c r="L140" s="133"/>
      <c r="M140" s="135"/>
      <c r="N140" s="133"/>
      <c r="O140" s="133"/>
      <c r="P140" s="133"/>
    </row>
    <row r="141" spans="1:16" ht="15" customHeight="1">
      <c r="A141" s="96" t="s">
        <v>216</v>
      </c>
      <c r="B141" s="93">
        <f t="shared" si="12" ref="B141:B204">SUM(C141+F141,L141:P141)</f>
        <v>15143</v>
      </c>
      <c r="C141" s="188">
        <f t="shared" si="9"/>
        <v>10226</v>
      </c>
      <c r="D141" s="197">
        <v>8328</v>
      </c>
      <c r="E141" s="197">
        <v>1898</v>
      </c>
      <c r="F141" s="188">
        <f t="shared" si="11"/>
        <v>4917</v>
      </c>
      <c r="G141" s="135"/>
      <c r="H141" s="135">
        <v>1417</v>
      </c>
      <c r="I141" s="135">
        <f>1381+2119</f>
        <v>3500</v>
      </c>
      <c r="J141" s="135"/>
      <c r="K141" s="135"/>
      <c r="L141" s="135"/>
      <c r="M141" s="133"/>
      <c r="N141" s="135"/>
      <c r="O141" s="135"/>
      <c r="P141" s="135"/>
    </row>
    <row r="142" spans="1:16" ht="15" customHeight="1">
      <c r="A142" s="95" t="s">
        <v>747</v>
      </c>
      <c r="B142" s="93">
        <f t="shared" si="12"/>
        <v>15768</v>
      </c>
      <c r="C142" s="188">
        <f t="shared" si="9"/>
        <v>13165</v>
      </c>
      <c r="D142" s="188">
        <v>10548</v>
      </c>
      <c r="E142" s="188">
        <v>2617</v>
      </c>
      <c r="F142" s="188">
        <f t="shared" si="11"/>
        <v>2603</v>
      </c>
      <c r="G142" s="133"/>
      <c r="H142" s="133">
        <v>817</v>
      </c>
      <c r="I142" s="133">
        <v>1786</v>
      </c>
      <c r="J142" s="133"/>
      <c r="K142" s="133"/>
      <c r="L142" s="133"/>
      <c r="M142" s="133"/>
      <c r="N142" s="133"/>
      <c r="O142" s="133"/>
      <c r="P142" s="133"/>
    </row>
    <row r="143" spans="1:16" ht="15" customHeight="1">
      <c r="A143" s="95" t="s">
        <v>217</v>
      </c>
      <c r="B143" s="93">
        <f t="shared" si="12"/>
        <v>15922</v>
      </c>
      <c r="C143" s="188">
        <f t="shared" si="9"/>
        <v>13319</v>
      </c>
      <c r="D143" s="188">
        <v>10643</v>
      </c>
      <c r="E143" s="188">
        <v>2676</v>
      </c>
      <c r="F143" s="188">
        <f t="shared" si="11"/>
        <v>2603</v>
      </c>
      <c r="G143" s="133"/>
      <c r="H143" s="133">
        <v>660</v>
      </c>
      <c r="I143" s="133">
        <v>1943</v>
      </c>
      <c r="J143" s="133"/>
      <c r="K143" s="133"/>
      <c r="L143" s="133"/>
      <c r="M143" s="133"/>
      <c r="N143" s="133"/>
      <c r="O143" s="133"/>
      <c r="P143" s="133"/>
    </row>
    <row r="144" spans="1:16" ht="15" customHeight="1">
      <c r="A144" s="95" t="s">
        <v>218</v>
      </c>
      <c r="B144" s="93">
        <f t="shared" si="12"/>
        <v>15143</v>
      </c>
      <c r="C144" s="188">
        <f t="shared" si="9"/>
        <v>10421</v>
      </c>
      <c r="D144" s="188">
        <v>8328</v>
      </c>
      <c r="E144" s="188">
        <v>2093</v>
      </c>
      <c r="F144" s="188">
        <f t="shared" si="11"/>
        <v>4722</v>
      </c>
      <c r="G144" s="133"/>
      <c r="H144" s="133">
        <v>1487</v>
      </c>
      <c r="I144" s="133">
        <f>1116+2119</f>
        <v>3235</v>
      </c>
      <c r="J144" s="133"/>
      <c r="K144" s="133"/>
      <c r="L144" s="133"/>
      <c r="M144" s="135"/>
      <c r="N144" s="133"/>
      <c r="O144" s="133"/>
      <c r="P144" s="133"/>
    </row>
    <row r="145" spans="1:16" ht="30" customHeight="1">
      <c r="A145" s="96" t="s">
        <v>127</v>
      </c>
      <c r="B145" s="93">
        <f t="shared" si="12"/>
        <v>21967</v>
      </c>
      <c r="C145" s="188">
        <f t="shared" si="9"/>
        <v>15365</v>
      </c>
      <c r="D145" s="200">
        <v>12432</v>
      </c>
      <c r="E145" s="197">
        <v>2933</v>
      </c>
      <c r="F145" s="188">
        <f t="shared" si="11"/>
        <v>6602</v>
      </c>
      <c r="G145" s="135"/>
      <c r="H145" s="135">
        <v>1350</v>
      </c>
      <c r="I145" s="135">
        <v>5252</v>
      </c>
      <c r="J145" s="135"/>
      <c r="K145" s="135"/>
      <c r="L145" s="135"/>
      <c r="M145" s="133"/>
      <c r="N145" s="135"/>
      <c r="O145" s="135"/>
      <c r="P145" s="135"/>
    </row>
    <row r="146" spans="1:16" ht="26.45" customHeight="1">
      <c r="A146" s="179" t="s">
        <v>115</v>
      </c>
      <c r="B146" s="93">
        <f t="shared" si="12"/>
        <v>85226</v>
      </c>
      <c r="C146" s="188">
        <f t="shared" si="9"/>
        <v>77367</v>
      </c>
      <c r="D146" s="188">
        <v>62600</v>
      </c>
      <c r="E146" s="188">
        <v>14767</v>
      </c>
      <c r="F146" s="188">
        <f t="shared" si="11"/>
        <v>7859</v>
      </c>
      <c r="G146" s="133">
        <v>200</v>
      </c>
      <c r="H146" s="133">
        <v>700</v>
      </c>
      <c r="I146" s="133">
        <v>6959</v>
      </c>
      <c r="J146" s="133"/>
      <c r="K146" s="133"/>
      <c r="L146" s="133"/>
      <c r="M146" s="133"/>
      <c r="N146" s="133"/>
      <c r="O146" s="133"/>
      <c r="P146" s="133"/>
    </row>
    <row r="147" spans="1:16" s="83" customFormat="1" ht="30" customHeight="1">
      <c r="A147" s="179" t="s">
        <v>145</v>
      </c>
      <c r="B147" s="93">
        <f t="shared" si="12"/>
        <v>32664</v>
      </c>
      <c r="C147" s="188">
        <f t="shared" si="9"/>
        <v>1700</v>
      </c>
      <c r="D147" s="188">
        <v>1700</v>
      </c>
      <c r="E147" s="188"/>
      <c r="F147" s="188">
        <f t="shared" si="11"/>
        <v>30964</v>
      </c>
      <c r="G147" s="133">
        <v>860</v>
      </c>
      <c r="H147" s="133">
        <v>13140</v>
      </c>
      <c r="I147" s="133">
        <v>16964</v>
      </c>
      <c r="J147" s="133"/>
      <c r="K147" s="133"/>
      <c r="L147" s="133"/>
      <c r="M147" s="133"/>
      <c r="N147" s="133"/>
      <c r="O147" s="133"/>
      <c r="P147" s="133"/>
    </row>
    <row r="148" spans="1:16" s="83" customFormat="1" ht="27.75" customHeight="1">
      <c r="A148" s="179" t="s">
        <v>730</v>
      </c>
      <c r="B148" s="93">
        <f t="shared" si="12"/>
        <v>13009</v>
      </c>
      <c r="C148" s="188">
        <f t="shared" si="9"/>
        <v>600</v>
      </c>
      <c r="D148" s="188">
        <v>480</v>
      </c>
      <c r="E148" s="188">
        <v>120</v>
      </c>
      <c r="F148" s="188">
        <f t="shared" si="11"/>
        <v>12409</v>
      </c>
      <c r="G148" s="133">
        <v>3859</v>
      </c>
      <c r="H148" s="133">
        <v>1069</v>
      </c>
      <c r="I148" s="133">
        <v>7481</v>
      </c>
      <c r="J148" s="133"/>
      <c r="K148" s="133"/>
      <c r="L148" s="133"/>
      <c r="M148" s="133"/>
      <c r="N148" s="133"/>
      <c r="O148" s="133"/>
      <c r="P148" s="133"/>
    </row>
    <row r="149" spans="1:16" ht="27.75" customHeight="1">
      <c r="A149" s="179" t="s">
        <v>166</v>
      </c>
      <c r="B149" s="93">
        <f t="shared" si="12"/>
        <v>26195</v>
      </c>
      <c r="C149" s="199">
        <f t="shared" si="9"/>
        <v>17560</v>
      </c>
      <c r="D149" s="188">
        <v>14208</v>
      </c>
      <c r="E149" s="188">
        <v>3352</v>
      </c>
      <c r="F149" s="188">
        <f>SUM(G149:K149)</f>
        <v>8635</v>
      </c>
      <c r="G149" s="133"/>
      <c r="H149" s="133">
        <v>1780</v>
      </c>
      <c r="I149" s="133">
        <v>6855</v>
      </c>
      <c r="J149" s="133"/>
      <c r="K149" s="133"/>
      <c r="L149" s="133"/>
      <c r="M149" s="133"/>
      <c r="N149" s="133">
        <v>0</v>
      </c>
      <c r="O149" s="133"/>
      <c r="P149" s="133"/>
    </row>
    <row r="150" spans="1:16" ht="27.75" customHeight="1">
      <c r="A150" s="179" t="s">
        <v>721</v>
      </c>
      <c r="B150" s="93">
        <f t="shared" si="12"/>
        <v>60000</v>
      </c>
      <c r="C150" s="199">
        <f t="shared" si="9"/>
        <v>0</v>
      </c>
      <c r="D150" s="188"/>
      <c r="E150" s="188"/>
      <c r="F150" s="188">
        <f>SUM(G150:K150)</f>
        <v>60000</v>
      </c>
      <c r="G150" s="133"/>
      <c r="H150" s="133">
        <v>60000</v>
      </c>
      <c r="I150" s="133"/>
      <c r="J150" s="133"/>
      <c r="K150" s="133"/>
      <c r="L150" s="133"/>
      <c r="M150" s="133"/>
      <c r="N150" s="133"/>
      <c r="O150" s="133"/>
      <c r="P150" s="133"/>
    </row>
    <row r="151" spans="1:16" ht="27.75" customHeight="1">
      <c r="A151" s="179" t="s">
        <v>21</v>
      </c>
      <c r="B151" s="93">
        <f t="shared" si="12"/>
        <v>567484</v>
      </c>
      <c r="C151" s="188">
        <f t="shared" si="9"/>
        <v>499542</v>
      </c>
      <c r="D151" s="188">
        <v>402591</v>
      </c>
      <c r="E151" s="188">
        <v>96951</v>
      </c>
      <c r="F151" s="188">
        <f t="shared" si="13" ref="F151:F178">SUM(G151:K151)</f>
        <v>43542</v>
      </c>
      <c r="G151" s="133">
        <v>180</v>
      </c>
      <c r="H151" s="133">
        <v>23842</v>
      </c>
      <c r="I151" s="133">
        <f>5120+1000</f>
        <v>6120</v>
      </c>
      <c r="J151" s="133">
        <v>13400</v>
      </c>
      <c r="K151" s="133"/>
      <c r="L151" s="133"/>
      <c r="M151" s="133"/>
      <c r="N151" s="133">
        <v>24400</v>
      </c>
      <c r="O151" s="133"/>
      <c r="P151" s="133"/>
    </row>
    <row r="152" spans="1:16" ht="38.25" customHeight="1">
      <c r="A152" s="95" t="s">
        <v>633</v>
      </c>
      <c r="B152" s="93">
        <f t="shared" si="12"/>
        <v>51850</v>
      </c>
      <c r="C152" s="188">
        <f t="shared" si="9"/>
        <v>200</v>
      </c>
      <c r="D152" s="188"/>
      <c r="E152" s="188">
        <v>200</v>
      </c>
      <c r="F152" s="188">
        <f t="shared" si="13"/>
        <v>51650</v>
      </c>
      <c r="G152" s="133"/>
      <c r="H152" s="133">
        <v>50150</v>
      </c>
      <c r="I152" s="133">
        <v>1500</v>
      </c>
      <c r="J152" s="133"/>
      <c r="K152" s="133"/>
      <c r="L152" s="133"/>
      <c r="M152" s="137"/>
      <c r="N152" s="133"/>
      <c r="O152" s="133"/>
      <c r="P152" s="133"/>
    </row>
    <row r="153" spans="1:16" ht="18" customHeight="1">
      <c r="A153" s="94" t="s">
        <v>65</v>
      </c>
      <c r="B153" s="93">
        <f t="shared" si="12"/>
        <v>146603</v>
      </c>
      <c r="C153" s="188">
        <f t="shared" si="9"/>
        <v>115918</v>
      </c>
      <c r="D153" s="188">
        <v>93792</v>
      </c>
      <c r="E153" s="188">
        <v>22126</v>
      </c>
      <c r="F153" s="188">
        <f t="shared" si="13"/>
        <v>30685</v>
      </c>
      <c r="G153" s="133">
        <v>275</v>
      </c>
      <c r="H153" s="133">
        <v>27939</v>
      </c>
      <c r="I153" s="133">
        <v>2471</v>
      </c>
      <c r="J153" s="133"/>
      <c r="K153" s="133"/>
      <c r="L153" s="133"/>
      <c r="M153" s="137"/>
      <c r="N153" s="133"/>
      <c r="O153" s="133"/>
      <c r="P153" s="133"/>
    </row>
    <row r="154" spans="1:16" ht="24" customHeight="1">
      <c r="A154" s="94" t="s">
        <v>97</v>
      </c>
      <c r="B154" s="93">
        <f t="shared" si="12"/>
        <v>50668</v>
      </c>
      <c r="C154" s="188">
        <f t="shared" si="9"/>
        <v>40635</v>
      </c>
      <c r="D154" s="188">
        <v>33507</v>
      </c>
      <c r="E154" s="188">
        <v>7128</v>
      </c>
      <c r="F154" s="188">
        <f>SUM(G154:K154)</f>
        <v>10033</v>
      </c>
      <c r="G154" s="133">
        <v>104</v>
      </c>
      <c r="H154" s="133">
        <v>4397</v>
      </c>
      <c r="I154" s="133">
        <v>5532</v>
      </c>
      <c r="J154" s="133"/>
      <c r="K154" s="133"/>
      <c r="L154" s="133"/>
      <c r="M154" s="134"/>
      <c r="N154" s="133">
        <v>0</v>
      </c>
      <c r="O154" s="133"/>
      <c r="P154" s="133"/>
    </row>
    <row r="155" spans="1:16" ht="20.25" customHeight="1">
      <c r="A155" s="176" t="s">
        <v>83</v>
      </c>
      <c r="B155" s="93">
        <f t="shared" si="12"/>
        <v>45341</v>
      </c>
      <c r="C155" s="201">
        <f t="shared" si="14" ref="C155:C208">D155+E155</f>
        <v>31467</v>
      </c>
      <c r="D155" s="201">
        <v>25461</v>
      </c>
      <c r="E155" s="201">
        <v>6006</v>
      </c>
      <c r="F155" s="201">
        <f t="shared" si="13"/>
        <v>13874</v>
      </c>
      <c r="G155" s="138">
        <v>61</v>
      </c>
      <c r="H155" s="138">
        <v>2882</v>
      </c>
      <c r="I155" s="138">
        <v>10931</v>
      </c>
      <c r="J155" s="138"/>
      <c r="K155" s="138"/>
      <c r="L155" s="138"/>
      <c r="M155" s="138"/>
      <c r="N155" s="138"/>
      <c r="O155" s="138"/>
      <c r="P155" s="138"/>
    </row>
    <row r="156" spans="1:16" ht="26.25" customHeight="1">
      <c r="A156" s="95" t="s">
        <v>63</v>
      </c>
      <c r="B156" s="93">
        <f t="shared" si="12"/>
        <v>302491</v>
      </c>
      <c r="C156" s="188">
        <f t="shared" si="14"/>
        <v>241616</v>
      </c>
      <c r="D156" s="188">
        <f>182261+13067</f>
        <v>195328</v>
      </c>
      <c r="E156" s="188">
        <f>43205+3083</f>
        <v>46288</v>
      </c>
      <c r="F156" s="188">
        <f t="shared" si="13"/>
        <v>60875</v>
      </c>
      <c r="G156" s="133">
        <v>306</v>
      </c>
      <c r="H156" s="133">
        <v>34186</v>
      </c>
      <c r="I156" s="133">
        <f>15606+1440+8857+480</f>
        <v>26383</v>
      </c>
      <c r="J156" s="133"/>
      <c r="K156" s="133"/>
      <c r="L156" s="133"/>
      <c r="M156" s="133"/>
      <c r="N156" s="133">
        <v>0</v>
      </c>
      <c r="O156" s="133"/>
      <c r="P156" s="133"/>
    </row>
    <row r="157" spans="1:16" ht="17.25" customHeight="1">
      <c r="A157" s="95" t="s">
        <v>22</v>
      </c>
      <c r="B157" s="93">
        <f t="shared" si="12"/>
        <v>77206</v>
      </c>
      <c r="C157" s="188">
        <f t="shared" si="14"/>
        <v>4112</v>
      </c>
      <c r="D157" s="188">
        <v>4112</v>
      </c>
      <c r="E157" s="188"/>
      <c r="F157" s="188">
        <f>SUM(G157:K157)</f>
        <v>73094</v>
      </c>
      <c r="G157" s="133"/>
      <c r="H157" s="133">
        <v>67451</v>
      </c>
      <c r="I157" s="133">
        <v>5643</v>
      </c>
      <c r="J157" s="133"/>
      <c r="K157" s="133"/>
      <c r="L157" s="133"/>
      <c r="M157" s="133"/>
      <c r="N157" s="133"/>
      <c r="O157" s="133"/>
      <c r="P157" s="133"/>
    </row>
    <row r="158" spans="1:16" ht="15" customHeight="1">
      <c r="A158" s="95" t="s">
        <v>98</v>
      </c>
      <c r="B158" s="93">
        <f t="shared" si="12"/>
        <v>9809</v>
      </c>
      <c r="C158" s="188">
        <f t="shared" si="14"/>
        <v>2257</v>
      </c>
      <c r="D158" s="188">
        <v>2200</v>
      </c>
      <c r="E158" s="188">
        <v>57</v>
      </c>
      <c r="F158" s="188">
        <f t="shared" si="13"/>
        <v>7552</v>
      </c>
      <c r="G158" s="133"/>
      <c r="H158" s="133">
        <v>5192</v>
      </c>
      <c r="I158" s="133">
        <v>2360</v>
      </c>
      <c r="J158" s="133"/>
      <c r="K158" s="133"/>
      <c r="L158" s="133"/>
      <c r="M158" s="133"/>
      <c r="N158" s="133"/>
      <c r="O158" s="133"/>
      <c r="P158" s="133"/>
    </row>
    <row r="159" spans="1:16" ht="15" customHeight="1">
      <c r="A159" s="95" t="s">
        <v>139</v>
      </c>
      <c r="B159" s="93">
        <f t="shared" si="12"/>
        <v>11139</v>
      </c>
      <c r="C159" s="188">
        <f t="shared" si="14"/>
        <v>388</v>
      </c>
      <c r="D159" s="188">
        <v>350</v>
      </c>
      <c r="E159" s="188">
        <v>38</v>
      </c>
      <c r="F159" s="188">
        <f t="shared" si="13"/>
        <v>10751</v>
      </c>
      <c r="G159" s="133">
        <v>24</v>
      </c>
      <c r="H159" s="133">
        <v>7535</v>
      </c>
      <c r="I159" s="133">
        <v>3192</v>
      </c>
      <c r="J159" s="133"/>
      <c r="K159" s="133"/>
      <c r="L159" s="133"/>
      <c r="M159" s="133"/>
      <c r="N159" s="133"/>
      <c r="O159" s="133"/>
      <c r="P159" s="133"/>
    </row>
    <row r="160" spans="1:16" ht="15" customHeight="1">
      <c r="A160" s="95" t="s">
        <v>23</v>
      </c>
      <c r="B160" s="93">
        <f t="shared" si="12"/>
        <v>9937</v>
      </c>
      <c r="C160" s="188">
        <f t="shared" si="14"/>
        <v>807</v>
      </c>
      <c r="D160" s="188">
        <v>600</v>
      </c>
      <c r="E160" s="188">
        <v>207</v>
      </c>
      <c r="F160" s="188">
        <f>SUM(G160:K160)</f>
        <v>9130</v>
      </c>
      <c r="G160" s="133"/>
      <c r="H160" s="133">
        <v>3900</v>
      </c>
      <c r="I160" s="133">
        <v>5230</v>
      </c>
      <c r="J160" s="133"/>
      <c r="K160" s="133"/>
      <c r="L160" s="133"/>
      <c r="M160" s="133"/>
      <c r="N160" s="133"/>
      <c r="O160" s="133"/>
      <c r="P160" s="133"/>
    </row>
    <row r="161" spans="1:16" ht="15" customHeight="1">
      <c r="A161" s="95" t="s">
        <v>24</v>
      </c>
      <c r="B161" s="93">
        <f t="shared" si="12"/>
        <v>5048</v>
      </c>
      <c r="C161" s="188">
        <f t="shared" si="14"/>
        <v>202</v>
      </c>
      <c r="D161" s="188"/>
      <c r="E161" s="188">
        <v>202</v>
      </c>
      <c r="F161" s="188">
        <f t="shared" si="13"/>
        <v>4846</v>
      </c>
      <c r="G161" s="133"/>
      <c r="H161" s="133">
        <v>2816</v>
      </c>
      <c r="I161" s="133">
        <v>2030</v>
      </c>
      <c r="J161" s="133"/>
      <c r="K161" s="133"/>
      <c r="L161" s="133"/>
      <c r="M161" s="133"/>
      <c r="N161" s="133"/>
      <c r="O161" s="133"/>
      <c r="P161" s="133"/>
    </row>
    <row r="162" spans="1:16" ht="15" customHeight="1">
      <c r="A162" s="95" t="s">
        <v>25</v>
      </c>
      <c r="B162" s="93">
        <f t="shared" si="12"/>
        <v>22922</v>
      </c>
      <c r="C162" s="188">
        <f t="shared" si="14"/>
        <v>1557</v>
      </c>
      <c r="D162" s="188">
        <v>1500</v>
      </c>
      <c r="E162" s="188">
        <v>57</v>
      </c>
      <c r="F162" s="188">
        <f t="shared" si="13"/>
        <v>21365</v>
      </c>
      <c r="G162" s="133"/>
      <c r="H162" s="133">
        <v>13625</v>
      </c>
      <c r="I162" s="133">
        <f>6750+990</f>
        <v>7740</v>
      </c>
      <c r="J162" s="133"/>
      <c r="K162" s="133"/>
      <c r="L162" s="133"/>
      <c r="M162" s="135"/>
      <c r="N162" s="133"/>
      <c r="O162" s="133"/>
      <c r="P162" s="133"/>
    </row>
    <row r="163" spans="1:16" ht="15" customHeight="1">
      <c r="A163" s="96" t="s">
        <v>82</v>
      </c>
      <c r="B163" s="93">
        <f t="shared" si="12"/>
        <v>18761</v>
      </c>
      <c r="C163" s="188">
        <f t="shared" si="14"/>
        <v>445</v>
      </c>
      <c r="D163" s="197">
        <v>400</v>
      </c>
      <c r="E163" s="197">
        <v>45</v>
      </c>
      <c r="F163" s="188">
        <f t="shared" si="13"/>
        <v>18316</v>
      </c>
      <c r="G163" s="135">
        <v>24</v>
      </c>
      <c r="H163" s="135">
        <f>9165+6317</f>
        <v>15482</v>
      </c>
      <c r="I163" s="135">
        <f>2810</f>
        <v>2810</v>
      </c>
      <c r="J163" s="135"/>
      <c r="K163" s="135"/>
      <c r="L163" s="135"/>
      <c r="M163" s="133"/>
      <c r="N163" s="135"/>
      <c r="O163" s="135"/>
      <c r="P163" s="135"/>
    </row>
    <row r="164" spans="1:16" ht="15" customHeight="1">
      <c r="A164" s="95" t="s">
        <v>138</v>
      </c>
      <c r="B164" s="93">
        <f t="shared" si="12"/>
        <v>2158</v>
      </c>
      <c r="C164" s="188">
        <f t="shared" si="14"/>
        <v>100</v>
      </c>
      <c r="D164" s="188">
        <v>100</v>
      </c>
      <c r="E164" s="188"/>
      <c r="F164" s="188">
        <f t="shared" si="13"/>
        <v>2058</v>
      </c>
      <c r="G164" s="133"/>
      <c r="H164" s="133">
        <v>1108</v>
      </c>
      <c r="I164" s="133">
        <v>950</v>
      </c>
      <c r="J164" s="133"/>
      <c r="K164" s="133"/>
      <c r="L164" s="133"/>
      <c r="M164" s="133"/>
      <c r="N164" s="133"/>
      <c r="O164" s="133"/>
      <c r="P164" s="133"/>
    </row>
    <row r="165" spans="1:16" ht="15" customHeight="1">
      <c r="A165" s="95" t="s">
        <v>102</v>
      </c>
      <c r="B165" s="93">
        <f t="shared" si="12"/>
        <v>11607</v>
      </c>
      <c r="C165" s="188">
        <f t="shared" si="14"/>
        <v>232</v>
      </c>
      <c r="D165" s="188">
        <v>200</v>
      </c>
      <c r="E165" s="188">
        <v>32</v>
      </c>
      <c r="F165" s="188">
        <f t="shared" si="13"/>
        <v>11375</v>
      </c>
      <c r="G165" s="133"/>
      <c r="H165" s="133">
        <v>5873</v>
      </c>
      <c r="I165" s="133">
        <v>5502</v>
      </c>
      <c r="J165" s="133"/>
      <c r="K165" s="133"/>
      <c r="L165" s="133"/>
      <c r="M165" s="133"/>
      <c r="N165" s="133"/>
      <c r="O165" s="133"/>
      <c r="P165" s="133"/>
    </row>
    <row r="166" spans="1:16" ht="15" customHeight="1">
      <c r="A166" s="143" t="s">
        <v>144</v>
      </c>
      <c r="B166" s="93">
        <f t="shared" si="12"/>
        <v>5830</v>
      </c>
      <c r="C166" s="202">
        <f t="shared" si="14"/>
        <v>125</v>
      </c>
      <c r="D166" s="202"/>
      <c r="E166" s="202">
        <v>125</v>
      </c>
      <c r="F166" s="202">
        <f t="shared" si="13"/>
        <v>5705</v>
      </c>
      <c r="G166" s="137"/>
      <c r="H166" s="137">
        <v>3255</v>
      </c>
      <c r="I166" s="137">
        <v>2450</v>
      </c>
      <c r="J166" s="137"/>
      <c r="K166" s="137"/>
      <c r="L166" s="137"/>
      <c r="M166" s="137"/>
      <c r="N166" s="137"/>
      <c r="O166" s="137"/>
      <c r="P166" s="137"/>
    </row>
    <row r="167" spans="1:16" ht="15" customHeight="1">
      <c r="A167" s="95" t="s">
        <v>136</v>
      </c>
      <c r="B167" s="93">
        <f t="shared" si="12"/>
        <v>4072</v>
      </c>
      <c r="C167" s="188">
        <f t="shared" si="14"/>
        <v>0</v>
      </c>
      <c r="D167" s="188"/>
      <c r="E167" s="188"/>
      <c r="F167" s="188">
        <f t="shared" si="13"/>
        <v>4072</v>
      </c>
      <c r="G167" s="133"/>
      <c r="H167" s="133">
        <v>2262</v>
      </c>
      <c r="I167" s="133">
        <v>1810</v>
      </c>
      <c r="J167" s="133"/>
      <c r="K167" s="133"/>
      <c r="L167" s="133"/>
      <c r="M167" s="134"/>
      <c r="N167" s="133"/>
      <c r="O167" s="133"/>
      <c r="P167" s="133"/>
    </row>
    <row r="168" spans="1:16" ht="18.75" customHeight="1">
      <c r="A168" s="144" t="s">
        <v>130</v>
      </c>
      <c r="B168" s="93">
        <f t="shared" si="12"/>
        <v>20625</v>
      </c>
      <c r="C168" s="188">
        <f t="shared" si="14"/>
        <v>10644</v>
      </c>
      <c r="D168" s="187">
        <v>9249</v>
      </c>
      <c r="E168" s="187">
        <v>1395</v>
      </c>
      <c r="F168" s="188">
        <f t="shared" si="13"/>
        <v>9981</v>
      </c>
      <c r="G168" s="134">
        <v>158</v>
      </c>
      <c r="H168" s="134">
        <v>6285</v>
      </c>
      <c r="I168" s="134">
        <v>3538</v>
      </c>
      <c r="J168" s="134"/>
      <c r="K168" s="134"/>
      <c r="L168" s="134"/>
      <c r="M168" s="133"/>
      <c r="N168" s="134">
        <v>0</v>
      </c>
      <c r="O168" s="134"/>
      <c r="P168" s="134"/>
    </row>
    <row r="169" spans="1:16" ht="15" customHeight="1">
      <c r="A169" s="95" t="s">
        <v>154</v>
      </c>
      <c r="B169" s="93">
        <f t="shared" si="12"/>
        <v>15738</v>
      </c>
      <c r="C169" s="188">
        <f t="shared" si="14"/>
        <v>2610</v>
      </c>
      <c r="D169" s="199">
        <v>2572</v>
      </c>
      <c r="E169" s="199">
        <v>38</v>
      </c>
      <c r="F169" s="188">
        <f t="shared" si="13"/>
        <v>13128</v>
      </c>
      <c r="G169" s="133"/>
      <c r="H169" s="133">
        <v>7008</v>
      </c>
      <c r="I169" s="133">
        <f>2265+3855</f>
        <v>6120</v>
      </c>
      <c r="J169" s="133"/>
      <c r="K169" s="133"/>
      <c r="L169" s="133"/>
      <c r="M169" s="133"/>
      <c r="N169" s="133"/>
      <c r="O169" s="133"/>
      <c r="P169" s="133"/>
    </row>
    <row r="170" spans="1:16" ht="15" customHeight="1">
      <c r="A170" s="95" t="s">
        <v>146</v>
      </c>
      <c r="B170" s="93">
        <f t="shared" si="12"/>
        <v>8328</v>
      </c>
      <c r="C170" s="188">
        <f t="shared" si="14"/>
        <v>32</v>
      </c>
      <c r="D170" s="188"/>
      <c r="E170" s="188">
        <v>32</v>
      </c>
      <c r="F170" s="188">
        <f>SUM(G170:K170)</f>
        <v>8296</v>
      </c>
      <c r="G170" s="133">
        <v>16</v>
      </c>
      <c r="H170" s="133">
        <v>3630</v>
      </c>
      <c r="I170" s="133">
        <v>4650</v>
      </c>
      <c r="J170" s="133"/>
      <c r="K170" s="133"/>
      <c r="L170" s="133"/>
      <c r="M170" s="133"/>
      <c r="N170" s="133"/>
      <c r="O170" s="133"/>
      <c r="P170" s="133"/>
    </row>
    <row r="171" spans="1:16" ht="15" customHeight="1">
      <c r="A171" s="95" t="s">
        <v>26</v>
      </c>
      <c r="B171" s="93">
        <f t="shared" si="12"/>
        <v>10205</v>
      </c>
      <c r="C171" s="188">
        <f t="shared" si="14"/>
        <v>895</v>
      </c>
      <c r="D171" s="188">
        <v>770</v>
      </c>
      <c r="E171" s="188">
        <v>125</v>
      </c>
      <c r="F171" s="188">
        <f t="shared" si="13"/>
        <v>9310</v>
      </c>
      <c r="G171" s="133">
        <v>90</v>
      </c>
      <c r="H171" s="133">
        <v>5261</v>
      </c>
      <c r="I171" s="133">
        <v>3959</v>
      </c>
      <c r="J171" s="133"/>
      <c r="K171" s="133"/>
      <c r="L171" s="133"/>
      <c r="M171" s="133"/>
      <c r="N171" s="133"/>
      <c r="O171" s="133"/>
      <c r="P171" s="133"/>
    </row>
    <row r="172" spans="1:16" ht="15" customHeight="1">
      <c r="A172" s="95" t="s">
        <v>100</v>
      </c>
      <c r="B172" s="93">
        <f t="shared" si="12"/>
        <v>151792</v>
      </c>
      <c r="C172" s="188">
        <f>D172+E172</f>
        <v>109582</v>
      </c>
      <c r="D172" s="188">
        <f>79644+3500+6190</f>
        <v>89334</v>
      </c>
      <c r="E172" s="188">
        <f>18788+1460</f>
        <v>20248</v>
      </c>
      <c r="F172" s="188">
        <f t="shared" si="13"/>
        <v>42210</v>
      </c>
      <c r="G172" s="133"/>
      <c r="H172" s="133">
        <v>31029</v>
      </c>
      <c r="I172" s="133">
        <v>11181</v>
      </c>
      <c r="J172" s="133"/>
      <c r="K172" s="133"/>
      <c r="L172" s="133"/>
      <c r="M172" s="133"/>
      <c r="N172" s="133"/>
      <c r="O172" s="133"/>
      <c r="P172" s="133"/>
    </row>
    <row r="173" spans="1:16" ht="15.75" customHeight="1">
      <c r="A173" s="95" t="s">
        <v>99</v>
      </c>
      <c r="B173" s="93">
        <f t="shared" si="12"/>
        <v>16485</v>
      </c>
      <c r="C173" s="188">
        <f t="shared" si="14"/>
        <v>319</v>
      </c>
      <c r="D173" s="188">
        <v>300</v>
      </c>
      <c r="E173" s="188">
        <v>19</v>
      </c>
      <c r="F173" s="188">
        <f t="shared" si="13"/>
        <v>16166</v>
      </c>
      <c r="G173" s="133"/>
      <c r="H173" s="133">
        <v>9110</v>
      </c>
      <c r="I173" s="133">
        <v>7056</v>
      </c>
      <c r="J173" s="133"/>
      <c r="K173" s="133"/>
      <c r="L173" s="133"/>
      <c r="M173" s="133"/>
      <c r="N173" s="133"/>
      <c r="O173" s="133"/>
      <c r="P173" s="133"/>
    </row>
    <row r="174" spans="1:17" ht="25.15" customHeight="1">
      <c r="A174" s="95" t="s">
        <v>103</v>
      </c>
      <c r="B174" s="93">
        <f t="shared" si="12"/>
        <v>10173</v>
      </c>
      <c r="C174" s="188">
        <f t="shared" si="14"/>
        <v>38</v>
      </c>
      <c r="D174" s="188"/>
      <c r="E174" s="188">
        <v>38</v>
      </c>
      <c r="F174" s="188">
        <f t="shared" si="13"/>
        <v>10135</v>
      </c>
      <c r="G174" s="133"/>
      <c r="H174" s="133">
        <v>5271</v>
      </c>
      <c r="I174" s="133">
        <v>4864</v>
      </c>
      <c r="J174" s="133"/>
      <c r="K174" s="133"/>
      <c r="L174" s="133"/>
      <c r="M174" s="133"/>
      <c r="N174" s="133"/>
      <c r="O174" s="133"/>
      <c r="P174" s="133"/>
      <c r="Q174" s="62"/>
    </row>
    <row r="175" spans="1:16" ht="30" customHeight="1">
      <c r="A175" s="179" t="s">
        <v>101</v>
      </c>
      <c r="B175" s="93">
        <f t="shared" si="12"/>
        <v>69733</v>
      </c>
      <c r="C175" s="188">
        <f t="shared" si="14"/>
        <v>48652</v>
      </c>
      <c r="D175" s="188">
        <f>36615+2751</f>
        <v>39366</v>
      </c>
      <c r="E175" s="188">
        <f>8637+649</f>
        <v>9286</v>
      </c>
      <c r="F175" s="188">
        <f t="shared" si="13"/>
        <v>21081</v>
      </c>
      <c r="G175" s="133"/>
      <c r="H175" s="133">
        <v>11319</v>
      </c>
      <c r="I175" s="133">
        <v>9762</v>
      </c>
      <c r="J175" s="133"/>
      <c r="K175" s="133"/>
      <c r="L175" s="133"/>
      <c r="M175" s="133"/>
      <c r="N175" s="133"/>
      <c r="O175" s="133"/>
      <c r="P175" s="133"/>
    </row>
    <row r="176" spans="1:16" ht="30" customHeight="1">
      <c r="A176" s="179" t="s">
        <v>625</v>
      </c>
      <c r="B176" s="93">
        <f t="shared" si="12"/>
        <v>13038</v>
      </c>
      <c r="C176" s="188">
        <f>D176+E176</f>
        <v>10623</v>
      </c>
      <c r="D176" s="188">
        <v>8595</v>
      </c>
      <c r="E176" s="188">
        <v>2028</v>
      </c>
      <c r="F176" s="188">
        <f t="shared" si="13"/>
        <v>1915</v>
      </c>
      <c r="G176" s="133"/>
      <c r="H176" s="133">
        <v>350</v>
      </c>
      <c r="I176" s="133">
        <v>965</v>
      </c>
      <c r="J176" s="133">
        <v>600</v>
      </c>
      <c r="K176" s="133"/>
      <c r="L176" s="133"/>
      <c r="M176" s="133"/>
      <c r="N176" s="133">
        <v>500</v>
      </c>
      <c r="O176" s="133"/>
      <c r="P176" s="133"/>
    </row>
    <row r="177" spans="1:16" ht="30" customHeight="1">
      <c r="A177" s="179" t="s">
        <v>626</v>
      </c>
      <c r="B177" s="93">
        <f t="shared" si="12"/>
        <v>10150</v>
      </c>
      <c r="C177" s="188">
        <f t="shared" si="14"/>
        <v>8326</v>
      </c>
      <c r="D177" s="188">
        <v>6737</v>
      </c>
      <c r="E177" s="188">
        <v>1589</v>
      </c>
      <c r="F177" s="188">
        <f t="shared" si="13"/>
        <v>1824</v>
      </c>
      <c r="G177" s="133"/>
      <c r="H177" s="133">
        <v>610</v>
      </c>
      <c r="I177" s="133">
        <v>1214</v>
      </c>
      <c r="J177" s="133"/>
      <c r="K177" s="133"/>
      <c r="L177" s="133"/>
      <c r="M177" s="133"/>
      <c r="N177" s="133"/>
      <c r="O177" s="133"/>
      <c r="P177" s="133"/>
    </row>
    <row r="178" spans="1:16" ht="20.25" customHeight="1">
      <c r="A178" s="180" t="s">
        <v>117</v>
      </c>
      <c r="B178" s="93">
        <f t="shared" si="12"/>
        <v>596614</v>
      </c>
      <c r="C178" s="188">
        <f t="shared" si="14"/>
        <v>591131</v>
      </c>
      <c r="D178" s="197">
        <f>450790+27510</f>
        <v>478300</v>
      </c>
      <c r="E178" s="197">
        <f>106341+6490</f>
        <v>112831</v>
      </c>
      <c r="F178" s="188">
        <f t="shared" si="13"/>
        <v>5483</v>
      </c>
      <c r="G178" s="134">
        <v>170</v>
      </c>
      <c r="H178" s="134">
        <v>1383</v>
      </c>
      <c r="I178" s="134">
        <f>3130+800</f>
        <v>3930</v>
      </c>
      <c r="J178" s="134"/>
      <c r="K178" s="134"/>
      <c r="L178" s="134"/>
      <c r="M178" s="134"/>
      <c r="N178" s="134"/>
      <c r="O178" s="134"/>
      <c r="P178" s="134"/>
    </row>
    <row r="179" spans="1:16" ht="21.75" customHeight="1">
      <c r="A179" s="180" t="s">
        <v>118</v>
      </c>
      <c r="B179" s="93">
        <f t="shared" si="12"/>
        <v>42349</v>
      </c>
      <c r="C179" s="188">
        <f>D179+E179</f>
        <v>1300</v>
      </c>
      <c r="D179" s="197">
        <v>1300</v>
      </c>
      <c r="E179" s="197"/>
      <c r="F179" s="188">
        <f t="shared" si="15" ref="F179:F191">SUM(G179:K179)</f>
        <v>41049</v>
      </c>
      <c r="G179" s="134"/>
      <c r="H179" s="134">
        <v>29310</v>
      </c>
      <c r="I179" s="134">
        <v>11739</v>
      </c>
      <c r="J179" s="134"/>
      <c r="K179" s="134"/>
      <c r="L179" s="134"/>
      <c r="M179" s="133"/>
      <c r="N179" s="134"/>
      <c r="O179" s="134"/>
      <c r="P179" s="134"/>
    </row>
    <row r="180" spans="1:16" ht="21" customHeight="1">
      <c r="A180" s="179" t="s">
        <v>27</v>
      </c>
      <c r="B180" s="93">
        <f t="shared" si="12"/>
        <v>65300</v>
      </c>
      <c r="C180" s="188">
        <f t="shared" si="14"/>
        <v>0</v>
      </c>
      <c r="D180" s="188">
        <v>0</v>
      </c>
      <c r="E180" s="188"/>
      <c r="F180" s="188">
        <f t="shared" si="15"/>
        <v>65300</v>
      </c>
      <c r="G180" s="133">
        <v>0</v>
      </c>
      <c r="H180" s="133">
        <v>45300</v>
      </c>
      <c r="I180" s="133">
        <v>20000</v>
      </c>
      <c r="J180" s="133"/>
      <c r="K180" s="133">
        <v>0</v>
      </c>
      <c r="L180" s="133"/>
      <c r="M180" s="133"/>
      <c r="N180" s="133"/>
      <c r="O180" s="133">
        <v>0</v>
      </c>
      <c r="P180" s="133"/>
    </row>
    <row r="181" spans="1:16" ht="22.5" customHeight="1">
      <c r="A181" s="179" t="s">
        <v>28</v>
      </c>
      <c r="B181" s="93">
        <f t="shared" si="12"/>
        <v>936872</v>
      </c>
      <c r="C181" s="188">
        <f t="shared" si="14"/>
        <v>798783</v>
      </c>
      <c r="D181" s="188">
        <f>275542+3666+212729+154380</f>
        <v>646317</v>
      </c>
      <c r="E181" s="188">
        <f>65000+865+50183+36418</f>
        <v>152466</v>
      </c>
      <c r="F181" s="188">
        <f t="shared" si="15"/>
        <v>123490</v>
      </c>
      <c r="G181" s="133"/>
      <c r="H181" s="133">
        <v>47328</v>
      </c>
      <c r="I181" s="133">
        <v>76162</v>
      </c>
      <c r="J181" s="133"/>
      <c r="K181" s="133"/>
      <c r="L181" s="133"/>
      <c r="M181" s="133"/>
      <c r="N181" s="133">
        <f>4599+10000</f>
        <v>14599</v>
      </c>
      <c r="O181" s="133"/>
      <c r="P181" s="133"/>
    </row>
    <row r="182" spans="1:17" ht="18.75" customHeight="1">
      <c r="A182" s="179" t="s">
        <v>29</v>
      </c>
      <c r="B182" s="93">
        <f t="shared" si="12"/>
        <v>594625</v>
      </c>
      <c r="C182" s="188">
        <f t="shared" si="14"/>
        <v>515821</v>
      </c>
      <c r="D182" s="188">
        <f>212047+135930+68983</f>
        <v>416960</v>
      </c>
      <c r="E182" s="188">
        <f>50022+32066+500+16273</f>
        <v>98861</v>
      </c>
      <c r="F182" s="188">
        <f t="shared" si="15"/>
        <v>78804</v>
      </c>
      <c r="G182" s="133"/>
      <c r="H182" s="133">
        <v>29195</v>
      </c>
      <c r="I182" s="133">
        <f>49209+400</f>
        <v>49609</v>
      </c>
      <c r="J182" s="133"/>
      <c r="K182" s="133"/>
      <c r="L182" s="133"/>
      <c r="M182" s="133"/>
      <c r="N182" s="133">
        <v>0</v>
      </c>
      <c r="O182" s="133"/>
      <c r="P182" s="133"/>
      <c r="Q182" s="62"/>
    </row>
    <row r="183" spans="1:16" ht="17.25" customHeight="1">
      <c r="A183" s="179" t="s">
        <v>30</v>
      </c>
      <c r="B183" s="93">
        <f t="shared" si="12"/>
        <v>155629</v>
      </c>
      <c r="C183" s="188">
        <f t="shared" si="14"/>
        <v>146117</v>
      </c>
      <c r="D183" s="188">
        <f>33996+77214+7017</f>
        <v>118227</v>
      </c>
      <c r="E183" s="188">
        <f>8020+18215+1655</f>
        <v>27890</v>
      </c>
      <c r="F183" s="188">
        <f t="shared" si="15"/>
        <v>9512</v>
      </c>
      <c r="G183" s="133"/>
      <c r="H183" s="133">
        <v>1176</v>
      </c>
      <c r="I183" s="133">
        <v>8336</v>
      </c>
      <c r="J183" s="133"/>
      <c r="K183" s="133"/>
      <c r="L183" s="133"/>
      <c r="M183" s="133"/>
      <c r="N183" s="133"/>
      <c r="O183" s="133"/>
      <c r="P183" s="133"/>
    </row>
    <row r="184" spans="1:16" ht="15" customHeight="1">
      <c r="A184" s="179" t="s">
        <v>542</v>
      </c>
      <c r="B184" s="93">
        <f t="shared" si="12"/>
        <v>344167</v>
      </c>
      <c r="C184" s="188">
        <f t="shared" si="14"/>
        <v>313686</v>
      </c>
      <c r="D184" s="188">
        <f>102876+129523+4800+16370</f>
        <v>253569</v>
      </c>
      <c r="E184" s="188">
        <f>24268+30555+300+1132+3862</f>
        <v>60117</v>
      </c>
      <c r="F184" s="188">
        <f t="shared" si="15"/>
        <v>30481</v>
      </c>
      <c r="G184" s="133"/>
      <c r="H184" s="133">
        <v>7701</v>
      </c>
      <c r="I184" s="133">
        <v>22745</v>
      </c>
      <c r="J184" s="133"/>
      <c r="K184" s="133">
        <v>35</v>
      </c>
      <c r="L184" s="133"/>
      <c r="M184" s="133"/>
      <c r="N184" s="133"/>
      <c r="O184" s="133"/>
      <c r="P184" s="133"/>
    </row>
    <row r="185" spans="1:16" ht="30" customHeight="1">
      <c r="A185" s="179" t="s">
        <v>107</v>
      </c>
      <c r="B185" s="93">
        <f t="shared" si="12"/>
        <v>350670</v>
      </c>
      <c r="C185" s="188">
        <f t="shared" si="14"/>
        <v>318980</v>
      </c>
      <c r="D185" s="188">
        <f>76375+139867+41893</f>
        <v>258135</v>
      </c>
      <c r="E185" s="188">
        <f>18017+32995+9833</f>
        <v>60845</v>
      </c>
      <c r="F185" s="188">
        <f t="shared" si="15"/>
        <v>31690</v>
      </c>
      <c r="G185" s="133"/>
      <c r="H185" s="133">
        <v>8200</v>
      </c>
      <c r="I185" s="133">
        <v>23490</v>
      </c>
      <c r="J185" s="133"/>
      <c r="K185" s="133"/>
      <c r="L185" s="133"/>
      <c r="M185" s="133"/>
      <c r="N185" s="133">
        <v>0</v>
      </c>
      <c r="O185" s="133"/>
      <c r="P185" s="133"/>
    </row>
    <row r="186" spans="1:16" ht="30" customHeight="1">
      <c r="A186" s="179" t="s">
        <v>634</v>
      </c>
      <c r="B186" s="93">
        <f t="shared" si="12"/>
        <v>51356</v>
      </c>
      <c r="C186" s="188">
        <f t="shared" si="14"/>
        <v>38456</v>
      </c>
      <c r="D186" s="188">
        <v>31116</v>
      </c>
      <c r="E186" s="188">
        <v>7340</v>
      </c>
      <c r="F186" s="188">
        <f t="shared" si="15"/>
        <v>12900</v>
      </c>
      <c r="G186" s="133"/>
      <c r="H186" s="133">
        <v>2760</v>
      </c>
      <c r="I186" s="133">
        <v>10090</v>
      </c>
      <c r="J186" s="133">
        <v>50</v>
      </c>
      <c r="K186" s="133"/>
      <c r="L186" s="133"/>
      <c r="M186" s="133"/>
      <c r="N186" s="133"/>
      <c r="O186" s="133"/>
      <c r="P186" s="133"/>
    </row>
    <row r="187" spans="1:16" ht="30" customHeight="1">
      <c r="A187" s="179" t="s">
        <v>66</v>
      </c>
      <c r="B187" s="93">
        <f t="shared" si="12"/>
        <v>1211890</v>
      </c>
      <c r="C187" s="188">
        <f t="shared" si="14"/>
        <v>846749</v>
      </c>
      <c r="D187" s="188">
        <f>109248+14100+4008+15139+542633</f>
        <v>685128</v>
      </c>
      <c r="E187" s="188">
        <f>25772+945+3326+3571+128007</f>
        <v>161621</v>
      </c>
      <c r="F187" s="188">
        <f t="shared" si="15"/>
        <v>328549</v>
      </c>
      <c r="G187" s="133">
        <v>100</v>
      </c>
      <c r="H187" s="133">
        <v>76882</v>
      </c>
      <c r="I187" s="133">
        <v>251567</v>
      </c>
      <c r="J187" s="133"/>
      <c r="K187" s="133"/>
      <c r="L187" s="133"/>
      <c r="M187" s="133"/>
      <c r="N187" s="133">
        <f>16592+20000</f>
        <v>36592</v>
      </c>
      <c r="O187" s="133"/>
      <c r="P187" s="133"/>
    </row>
    <row r="188" spans="1:16" s="83" customFormat="1" ht="20.25" customHeight="1">
      <c r="A188" s="179" t="s">
        <v>112</v>
      </c>
      <c r="B188" s="93">
        <f t="shared" si="12"/>
        <v>521831</v>
      </c>
      <c r="C188" s="188">
        <f t="shared" si="14"/>
        <v>441203</v>
      </c>
      <c r="D188" s="188">
        <f>162195+4521+85676+5826+87081+11690</f>
        <v>356989</v>
      </c>
      <c r="E188" s="188">
        <f>36195+1066+20211+2067+1374+20543+2758</f>
        <v>84214</v>
      </c>
      <c r="F188" s="188">
        <f t="shared" si="15"/>
        <v>79628</v>
      </c>
      <c r="G188" s="133">
        <v>54</v>
      </c>
      <c r="H188" s="133">
        <v>22363</v>
      </c>
      <c r="I188" s="133">
        <v>56939</v>
      </c>
      <c r="J188" s="133"/>
      <c r="K188" s="133">
        <v>272</v>
      </c>
      <c r="L188" s="133"/>
      <c r="M188" s="133"/>
      <c r="N188" s="133">
        <v>1000</v>
      </c>
      <c r="O188" s="133"/>
      <c r="P188" s="133"/>
    </row>
    <row r="189" spans="1:16" ht="21.75" customHeight="1">
      <c r="A189" s="182" t="s">
        <v>108</v>
      </c>
      <c r="B189" s="93">
        <f t="shared" si="12"/>
        <v>558661</v>
      </c>
      <c r="C189" s="188">
        <f t="shared" si="14"/>
        <v>507169</v>
      </c>
      <c r="D189" s="197">
        <f>102368+40846+9396+5082+2718+232976+25465</f>
        <v>418851</v>
      </c>
      <c r="E189" s="197">
        <f>24149+2217+9636+1199+641+44469+6007</f>
        <v>88318</v>
      </c>
      <c r="F189" s="188">
        <f t="shared" si="15"/>
        <v>50092</v>
      </c>
      <c r="G189" s="139">
        <v>80</v>
      </c>
      <c r="H189" s="139">
        <v>13185</v>
      </c>
      <c r="I189" s="139">
        <v>36728</v>
      </c>
      <c r="J189" s="139"/>
      <c r="K189" s="139">
        <v>99</v>
      </c>
      <c r="L189" s="139"/>
      <c r="M189" s="134"/>
      <c r="N189" s="139">
        <v>1400</v>
      </c>
      <c r="O189" s="139"/>
      <c r="P189" s="139"/>
    </row>
    <row r="190" spans="1:16" ht="23.25" customHeight="1">
      <c r="A190" s="179" t="s">
        <v>31</v>
      </c>
      <c r="B190" s="93">
        <f t="shared" si="12"/>
        <v>392450</v>
      </c>
      <c r="C190" s="188">
        <f t="shared" si="14"/>
        <v>348738</v>
      </c>
      <c r="D190" s="188">
        <f>93823+2070+5049+181231</f>
        <v>282173</v>
      </c>
      <c r="E190" s="188">
        <f>22133+488+1191+42753</f>
        <v>66565</v>
      </c>
      <c r="F190" s="188">
        <f t="shared" si="15"/>
        <v>43262</v>
      </c>
      <c r="G190" s="133"/>
      <c r="H190" s="133">
        <v>15636</v>
      </c>
      <c r="I190" s="133">
        <v>27250</v>
      </c>
      <c r="J190" s="133"/>
      <c r="K190" s="133">
        <v>376</v>
      </c>
      <c r="L190" s="133"/>
      <c r="M190" s="133"/>
      <c r="N190" s="133">
        <v>450</v>
      </c>
      <c r="O190" s="133"/>
      <c r="P190" s="133"/>
    </row>
    <row r="191" spans="1:16" ht="24.75" customHeight="1">
      <c r="A191" s="179" t="s">
        <v>170</v>
      </c>
      <c r="B191" s="93">
        <f t="shared" si="12"/>
        <v>827489</v>
      </c>
      <c r="C191" s="188">
        <f t="shared" si="14"/>
        <v>727535</v>
      </c>
      <c r="D191" s="188">
        <f>177206+94187+2560+20498+10091+271265+12862</f>
        <v>588669</v>
      </c>
      <c r="E191" s="188">
        <f>41803+22219+604+4835+2380+63991+3034</f>
        <v>138866</v>
      </c>
      <c r="F191" s="188">
        <f t="shared" si="15"/>
        <v>99454</v>
      </c>
      <c r="G191" s="133">
        <v>200</v>
      </c>
      <c r="H191" s="133">
        <v>26416</v>
      </c>
      <c r="I191" s="133">
        <f>71663+1175</f>
        <v>72838</v>
      </c>
      <c r="J191" s="133"/>
      <c r="K191" s="133"/>
      <c r="L191" s="133"/>
      <c r="M191" s="133"/>
      <c r="N191" s="133">
        <v>500</v>
      </c>
      <c r="O191" s="133"/>
      <c r="P191" s="133"/>
    </row>
    <row r="192" spans="1:16" ht="30" customHeight="1">
      <c r="A192" s="179" t="s">
        <v>171</v>
      </c>
      <c r="B192" s="93">
        <f t="shared" si="12"/>
        <v>84112</v>
      </c>
      <c r="C192" s="188">
        <f t="shared" si="14"/>
        <v>62833</v>
      </c>
      <c r="D192" s="188">
        <f>48840+2000</f>
        <v>50840</v>
      </c>
      <c r="E192" s="188">
        <f>11521+472</f>
        <v>11993</v>
      </c>
      <c r="F192" s="188">
        <f t="shared" si="16" ref="F192:F201">SUM(G192:K192)</f>
        <v>21279</v>
      </c>
      <c r="G192" s="133"/>
      <c r="H192" s="133">
        <v>5894</v>
      </c>
      <c r="I192" s="133">
        <v>15385</v>
      </c>
      <c r="J192" s="133"/>
      <c r="K192" s="133"/>
      <c r="L192" s="133"/>
      <c r="M192" s="133"/>
      <c r="N192" s="133"/>
      <c r="O192" s="133"/>
      <c r="P192" s="133"/>
    </row>
    <row r="193" spans="1:16" ht="21.75" customHeight="1">
      <c r="A193" s="179" t="s">
        <v>32</v>
      </c>
      <c r="B193" s="93">
        <f t="shared" si="12"/>
        <v>1012250</v>
      </c>
      <c r="C193" s="188">
        <f t="shared" si="14"/>
        <v>817062</v>
      </c>
      <c r="D193" s="188">
        <f>180082+32892+4500+32892+12422+403826</f>
        <v>666614</v>
      </c>
      <c r="E193" s="188">
        <f>42481+7759+954+1062+2930+95262</f>
        <v>150448</v>
      </c>
      <c r="F193" s="188">
        <f>SUM(G193:K193)</f>
        <v>192518</v>
      </c>
      <c r="G193" s="133"/>
      <c r="H193" s="133">
        <v>59008</v>
      </c>
      <c r="I193" s="133">
        <f>131505+2005</f>
        <v>133510</v>
      </c>
      <c r="J193" s="133"/>
      <c r="K193" s="133">
        <v>0</v>
      </c>
      <c r="L193" s="133"/>
      <c r="M193" s="133"/>
      <c r="N193" s="133">
        <f>1105+1565</f>
        <v>2670</v>
      </c>
      <c r="O193" s="133"/>
      <c r="P193" s="133"/>
    </row>
    <row r="194" spans="1:16" ht="24.75" customHeight="1">
      <c r="A194" s="179" t="s">
        <v>569</v>
      </c>
      <c r="B194" s="93">
        <f t="shared" si="12"/>
        <v>716570</v>
      </c>
      <c r="C194" s="188">
        <f t="shared" si="14"/>
        <v>592187</v>
      </c>
      <c r="D194" s="188">
        <f>166046+7283+5033+12027+288651</f>
        <v>479040</v>
      </c>
      <c r="E194" s="188">
        <f>39170+1718+1329+2837+68093</f>
        <v>113147</v>
      </c>
      <c r="F194" s="188">
        <f t="shared" si="16"/>
        <v>109383</v>
      </c>
      <c r="G194" s="133">
        <v>280</v>
      </c>
      <c r="H194" s="133">
        <v>29273</v>
      </c>
      <c r="I194" s="133">
        <v>79175</v>
      </c>
      <c r="J194" s="133">
        <v>213</v>
      </c>
      <c r="K194" s="133">
        <v>442</v>
      </c>
      <c r="L194" s="133"/>
      <c r="M194" s="133"/>
      <c r="N194" s="133">
        <v>15000</v>
      </c>
      <c r="O194" s="133"/>
      <c r="P194" s="133"/>
    </row>
    <row r="195" spans="1:16" ht="30" customHeight="1">
      <c r="A195" s="179" t="s">
        <v>43</v>
      </c>
      <c r="B195" s="93">
        <f t="shared" si="12"/>
        <v>977203</v>
      </c>
      <c r="C195" s="188">
        <f t="shared" si="14"/>
        <v>730810</v>
      </c>
      <c r="D195" s="188">
        <f>172121+22556+4216+4914+8929+216581+162939</f>
        <v>592256</v>
      </c>
      <c r="E195" s="188">
        <f>40603+5321+995+2106+51091+38438</f>
        <v>138554</v>
      </c>
      <c r="F195" s="188">
        <f t="shared" si="16"/>
        <v>221993</v>
      </c>
      <c r="G195" s="133">
        <v>250</v>
      </c>
      <c r="H195" s="133">
        <v>85819</v>
      </c>
      <c r="I195" s="133">
        <v>135792</v>
      </c>
      <c r="J195" s="133"/>
      <c r="K195" s="133">
        <v>132</v>
      </c>
      <c r="L195" s="133"/>
      <c r="M195" s="133"/>
      <c r="N195" s="133">
        <v>10000</v>
      </c>
      <c r="O195" s="133">
        <v>14400</v>
      </c>
      <c r="P195" s="133"/>
    </row>
    <row r="196" spans="1:16" ht="25.5" customHeight="1">
      <c r="A196" s="179" t="s">
        <v>110</v>
      </c>
      <c r="B196" s="93">
        <f t="shared" si="12"/>
        <v>636731</v>
      </c>
      <c r="C196" s="188">
        <f t="shared" si="14"/>
        <v>547826</v>
      </c>
      <c r="D196" s="188">
        <f>152580+115625+3527+7373+134911+29232</f>
        <v>443248</v>
      </c>
      <c r="E196" s="188">
        <f>35994+27276+848+1739+31825+6896</f>
        <v>104578</v>
      </c>
      <c r="F196" s="188">
        <f>SUM(G196:K196)</f>
        <v>88205</v>
      </c>
      <c r="G196" s="133"/>
      <c r="H196" s="133">
        <f>21065+2633+760</f>
        <v>24458</v>
      </c>
      <c r="I196" s="133">
        <f>44810+16179+370+1830</f>
        <v>63189</v>
      </c>
      <c r="J196" s="133"/>
      <c r="K196" s="133">
        <v>558</v>
      </c>
      <c r="L196" s="133"/>
      <c r="M196" s="133"/>
      <c r="N196" s="133">
        <v>700</v>
      </c>
      <c r="O196" s="133"/>
      <c r="P196" s="133"/>
    </row>
    <row r="197" spans="1:16" ht="23.25" customHeight="1">
      <c r="A197" s="179" t="s">
        <v>105</v>
      </c>
      <c r="B197" s="93">
        <f t="shared" si="12"/>
        <v>716395</v>
      </c>
      <c r="C197" s="188">
        <f t="shared" si="14"/>
        <v>618421</v>
      </c>
      <c r="D197" s="188">
        <f>150479+116567+4286+5238+7379+178273+38158</f>
        <v>500380</v>
      </c>
      <c r="E197" s="188">
        <f>35498+27498+1011+1236+1741+42055+9002</f>
        <v>118041</v>
      </c>
      <c r="F197" s="188">
        <f>SUM(G197:K197)</f>
        <v>97674</v>
      </c>
      <c r="G197" s="133"/>
      <c r="H197" s="133">
        <v>22293</v>
      </c>
      <c r="I197" s="133">
        <f>72941+1153+1077</f>
        <v>75171</v>
      </c>
      <c r="J197" s="133"/>
      <c r="K197" s="133">
        <v>210</v>
      </c>
      <c r="L197" s="133"/>
      <c r="M197" s="133"/>
      <c r="N197" s="133">
        <v>300</v>
      </c>
      <c r="O197" s="133"/>
      <c r="P197" s="133"/>
    </row>
    <row r="198" spans="1:16" ht="33.75" customHeight="1">
      <c r="A198" s="183" t="s">
        <v>114</v>
      </c>
      <c r="B198" s="93">
        <f t="shared" si="12"/>
        <v>821150</v>
      </c>
      <c r="C198" s="188">
        <f t="shared" si="14"/>
        <v>683132</v>
      </c>
      <c r="D198" s="197">
        <f>219259+88187+2124+8932+206178+28870</f>
        <v>553550</v>
      </c>
      <c r="E198" s="197">
        <f>51723+20803+501+2107+48638+5810</f>
        <v>129582</v>
      </c>
      <c r="F198" s="188">
        <f>SUM(G198:K198)</f>
        <v>137018</v>
      </c>
      <c r="G198" s="134">
        <v>180</v>
      </c>
      <c r="H198" s="134">
        <v>34573</v>
      </c>
      <c r="I198" s="134">
        <f>99303+2712</f>
        <v>102015</v>
      </c>
      <c r="J198" s="134">
        <v>50</v>
      </c>
      <c r="K198" s="134">
        <v>200</v>
      </c>
      <c r="L198" s="134"/>
      <c r="M198" s="134"/>
      <c r="N198" s="134">
        <v>1000</v>
      </c>
      <c r="O198" s="134"/>
      <c r="P198" s="134"/>
    </row>
    <row r="199" spans="1:16" ht="32.25" customHeight="1">
      <c r="A199" s="179" t="s">
        <v>33</v>
      </c>
      <c r="B199" s="93">
        <f t="shared" si="12"/>
        <v>680680</v>
      </c>
      <c r="C199" s="188">
        <f t="shared" si="14"/>
        <v>634655</v>
      </c>
      <c r="D199" s="188">
        <f>47227+54126+9703+401974</f>
        <v>513030</v>
      </c>
      <c r="E199" s="188">
        <f>11141+12768+601+2289+94826</f>
        <v>121625</v>
      </c>
      <c r="F199" s="188">
        <f t="shared" si="16"/>
        <v>41665</v>
      </c>
      <c r="G199" s="133">
        <v>2140</v>
      </c>
      <c r="H199" s="133">
        <v>23235</v>
      </c>
      <c r="I199" s="133">
        <f>12448+3674</f>
        <v>16122</v>
      </c>
      <c r="J199" s="133"/>
      <c r="K199" s="133">
        <v>168</v>
      </c>
      <c r="L199" s="133"/>
      <c r="M199" s="133"/>
      <c r="N199" s="133">
        <v>4360</v>
      </c>
      <c r="O199" s="133"/>
      <c r="P199" s="133"/>
    </row>
    <row r="200" spans="1:16" ht="37.5" customHeight="1">
      <c r="A200" s="179" t="s">
        <v>34</v>
      </c>
      <c r="B200" s="93">
        <f t="shared" si="12"/>
        <v>257261</v>
      </c>
      <c r="C200" s="188">
        <f t="shared" si="14"/>
        <v>226014</v>
      </c>
      <c r="D200" s="188">
        <f>25275+107813+3105+46573</f>
        <v>182766</v>
      </c>
      <c r="E200" s="188">
        <f>5963+25433+133+733+10986</f>
        <v>43248</v>
      </c>
      <c r="F200" s="188">
        <f>SUM(G200:K200)</f>
        <v>31247</v>
      </c>
      <c r="G200" s="133">
        <v>141</v>
      </c>
      <c r="H200" s="133">
        <v>12786</v>
      </c>
      <c r="I200" s="133">
        <v>18320</v>
      </c>
      <c r="J200" s="133"/>
      <c r="K200" s="133"/>
      <c r="L200" s="133"/>
      <c r="M200" s="133"/>
      <c r="N200" s="133"/>
      <c r="O200" s="133"/>
      <c r="P200" s="133"/>
    </row>
    <row r="201" spans="1:16" ht="24.75" customHeight="1">
      <c r="A201" s="179" t="s">
        <v>35</v>
      </c>
      <c r="B201" s="93">
        <f t="shared" si="12"/>
        <v>662556</v>
      </c>
      <c r="C201" s="199">
        <f t="shared" si="14"/>
        <v>581507</v>
      </c>
      <c r="D201" s="188">
        <f>78132+64932+8535+318255</f>
        <v>469854</v>
      </c>
      <c r="E201" s="188">
        <f>18431+15317+815+2013+75077</f>
        <v>111653</v>
      </c>
      <c r="F201" s="188">
        <f t="shared" si="16"/>
        <v>81049</v>
      </c>
      <c r="G201" s="133">
        <v>8000</v>
      </c>
      <c r="H201" s="133">
        <v>26079</v>
      </c>
      <c r="I201" s="133">
        <v>46370</v>
      </c>
      <c r="J201" s="133"/>
      <c r="K201" s="133">
        <v>600</v>
      </c>
      <c r="L201" s="133"/>
      <c r="M201" s="133"/>
      <c r="N201" s="133"/>
      <c r="O201" s="133"/>
      <c r="P201" s="133"/>
    </row>
    <row r="202" spans="1:16" ht="22.5" customHeight="1">
      <c r="A202" s="179" t="s">
        <v>42</v>
      </c>
      <c r="B202" s="93">
        <f t="shared" si="12"/>
        <v>238748</v>
      </c>
      <c r="C202" s="188">
        <f t="shared" si="14"/>
        <v>107646</v>
      </c>
      <c r="D202" s="188">
        <v>87099</v>
      </c>
      <c r="E202" s="188">
        <v>20547</v>
      </c>
      <c r="F202" s="188">
        <f t="shared" si="17" ref="F202:F216">SUM(G202:K202)</f>
        <v>131102</v>
      </c>
      <c r="G202" s="133"/>
      <c r="H202" s="133">
        <f>121160-6217</f>
        <v>114943</v>
      </c>
      <c r="I202" s="133">
        <v>16159</v>
      </c>
      <c r="J202" s="133"/>
      <c r="K202" s="133"/>
      <c r="L202" s="133"/>
      <c r="M202" s="133"/>
      <c r="N202" s="133"/>
      <c r="O202" s="133"/>
      <c r="P202" s="133"/>
    </row>
    <row r="203" spans="1:16" ht="30" customHeight="1">
      <c r="A203" s="179" t="s">
        <v>172</v>
      </c>
      <c r="B203" s="93">
        <f t="shared" si="12"/>
        <v>185259</v>
      </c>
      <c r="C203" s="188">
        <f t="shared" si="14"/>
        <v>155637</v>
      </c>
      <c r="D203" s="188">
        <f>71412+21732+32679</f>
        <v>125823</v>
      </c>
      <c r="E203" s="188">
        <f>16846+5127+132+7709</f>
        <v>29814</v>
      </c>
      <c r="F203" s="188">
        <f t="shared" si="17"/>
        <v>29622</v>
      </c>
      <c r="G203" s="133">
        <v>200</v>
      </c>
      <c r="H203" s="133">
        <v>19077</v>
      </c>
      <c r="I203" s="133">
        <v>10345</v>
      </c>
      <c r="J203" s="133"/>
      <c r="K203" s="133"/>
      <c r="L203" s="133"/>
      <c r="M203" s="133"/>
      <c r="N203" s="133"/>
      <c r="O203" s="133"/>
      <c r="P203" s="133"/>
    </row>
    <row r="204" spans="1:16" ht="22.5" customHeight="1">
      <c r="A204" s="179" t="s">
        <v>109</v>
      </c>
      <c r="B204" s="93">
        <f t="shared" si="12"/>
        <v>282040</v>
      </c>
      <c r="C204" s="188">
        <f t="shared" si="14"/>
        <v>273169</v>
      </c>
      <c r="D204" s="188">
        <v>221028</v>
      </c>
      <c r="E204" s="188">
        <v>52141</v>
      </c>
      <c r="F204" s="188">
        <f t="shared" si="17"/>
        <v>8871</v>
      </c>
      <c r="G204" s="133">
        <v>518</v>
      </c>
      <c r="H204" s="133">
        <v>3895</v>
      </c>
      <c r="I204" s="133">
        <v>4308</v>
      </c>
      <c r="J204" s="133"/>
      <c r="K204" s="133">
        <v>150</v>
      </c>
      <c r="L204" s="133"/>
      <c r="M204" s="133"/>
      <c r="N204" s="133"/>
      <c r="O204" s="133"/>
      <c r="P204" s="133"/>
    </row>
    <row r="205" spans="1:16" ht="21" customHeight="1">
      <c r="A205" s="179" t="s">
        <v>116</v>
      </c>
      <c r="B205" s="93">
        <f t="shared" si="18" ref="B205:B267">SUM(C205+F205,L205:P205)</f>
        <v>52776</v>
      </c>
      <c r="C205" s="188">
        <f t="shared" si="14"/>
        <v>8700</v>
      </c>
      <c r="D205" s="188">
        <v>8700</v>
      </c>
      <c r="E205" s="203"/>
      <c r="F205" s="188">
        <f t="shared" si="17"/>
        <v>35076</v>
      </c>
      <c r="G205" s="133">
        <v>1231</v>
      </c>
      <c r="H205" s="133">
        <v>4105</v>
      </c>
      <c r="I205" s="133">
        <v>29740</v>
      </c>
      <c r="J205" s="133"/>
      <c r="K205" s="133"/>
      <c r="L205" s="133"/>
      <c r="M205" s="133"/>
      <c r="N205" s="133"/>
      <c r="O205" s="133">
        <v>9000</v>
      </c>
      <c r="P205" s="133"/>
    </row>
    <row r="206" spans="1:16" ht="22.5" customHeight="1">
      <c r="A206" s="178" t="s">
        <v>50</v>
      </c>
      <c r="B206" s="93">
        <f t="shared" si="18"/>
        <v>35619</v>
      </c>
      <c r="C206" s="188">
        <f t="shared" si="14"/>
        <v>0</v>
      </c>
      <c r="D206" s="188"/>
      <c r="E206" s="188"/>
      <c r="F206" s="188">
        <f>SUM(G206:K206)</f>
        <v>35619</v>
      </c>
      <c r="G206" s="133"/>
      <c r="H206" s="133">
        <v>35619</v>
      </c>
      <c r="I206" s="133"/>
      <c r="J206" s="133"/>
      <c r="K206" s="133"/>
      <c r="L206" s="133"/>
      <c r="M206" s="133"/>
      <c r="N206" s="133"/>
      <c r="O206" s="133"/>
      <c r="P206" s="133"/>
    </row>
    <row r="207" spans="1:16" ht="30" customHeight="1">
      <c r="A207" s="94" t="s">
        <v>148</v>
      </c>
      <c r="B207" s="93">
        <f t="shared" si="18"/>
        <v>21214</v>
      </c>
      <c r="C207" s="188">
        <f t="shared" si="14"/>
        <v>7617</v>
      </c>
      <c r="D207" s="188">
        <v>6163</v>
      </c>
      <c r="E207" s="188">
        <v>1454</v>
      </c>
      <c r="F207" s="188">
        <f t="shared" si="17"/>
        <v>13597</v>
      </c>
      <c r="G207" s="133">
        <v>80</v>
      </c>
      <c r="H207" s="133">
        <v>6807</v>
      </c>
      <c r="I207" s="133">
        <v>6410</v>
      </c>
      <c r="J207" s="133"/>
      <c r="K207" s="133">
        <v>300</v>
      </c>
      <c r="L207" s="133"/>
      <c r="M207" s="133"/>
      <c r="N207" s="133"/>
      <c r="O207" s="133"/>
      <c r="P207" s="90"/>
    </row>
    <row r="208" spans="1:16" ht="30" customHeight="1">
      <c r="A208" s="95" t="s">
        <v>134</v>
      </c>
      <c r="B208" s="93">
        <f t="shared" si="18"/>
        <v>21371</v>
      </c>
      <c r="C208" s="188">
        <f t="shared" si="14"/>
        <v>14313</v>
      </c>
      <c r="D208" s="188">
        <v>11604</v>
      </c>
      <c r="E208" s="188">
        <v>2709</v>
      </c>
      <c r="F208" s="188">
        <f t="shared" si="17"/>
        <v>7058</v>
      </c>
      <c r="G208" s="133">
        <v>100</v>
      </c>
      <c r="H208" s="133">
        <v>3880</v>
      </c>
      <c r="I208" s="133">
        <v>2958</v>
      </c>
      <c r="J208" s="133"/>
      <c r="K208" s="133">
        <v>120</v>
      </c>
      <c r="L208" s="133"/>
      <c r="M208" s="133"/>
      <c r="N208" s="133"/>
      <c r="O208" s="133"/>
      <c r="P208" s="133"/>
    </row>
    <row r="209" spans="1:16" ht="30" customHeight="1">
      <c r="A209" s="95" t="s">
        <v>135</v>
      </c>
      <c r="B209" s="93">
        <f t="shared" si="18"/>
        <v>25024</v>
      </c>
      <c r="C209" s="188">
        <f t="shared" si="19" ref="C209:C258">D209+E209</f>
        <v>14694</v>
      </c>
      <c r="D209" s="188">
        <v>11908</v>
      </c>
      <c r="E209" s="188">
        <v>2786</v>
      </c>
      <c r="F209" s="188">
        <f>SUM(G209:K209)</f>
        <v>10330</v>
      </c>
      <c r="G209" s="133">
        <v>100</v>
      </c>
      <c r="H209" s="133">
        <v>5160</v>
      </c>
      <c r="I209" s="133">
        <v>4950</v>
      </c>
      <c r="J209" s="133"/>
      <c r="K209" s="133">
        <v>120</v>
      </c>
      <c r="L209" s="133"/>
      <c r="M209" s="133"/>
      <c r="N209" s="133"/>
      <c r="O209" s="133"/>
      <c r="P209" s="133"/>
    </row>
    <row r="210" spans="1:16" ht="30" customHeight="1">
      <c r="A210" s="95" t="s">
        <v>131</v>
      </c>
      <c r="B210" s="93">
        <f t="shared" si="18"/>
        <v>24346</v>
      </c>
      <c r="C210" s="188">
        <f t="shared" si="19"/>
        <v>12945</v>
      </c>
      <c r="D210" s="188">
        <v>10522</v>
      </c>
      <c r="E210" s="188">
        <v>2423</v>
      </c>
      <c r="F210" s="188">
        <f t="shared" si="17"/>
        <v>11401</v>
      </c>
      <c r="G210" s="133">
        <v>100</v>
      </c>
      <c r="H210" s="133">
        <v>3660</v>
      </c>
      <c r="I210" s="133">
        <v>7531</v>
      </c>
      <c r="J210" s="133"/>
      <c r="K210" s="133">
        <v>110</v>
      </c>
      <c r="L210" s="133"/>
      <c r="M210" s="133"/>
      <c r="N210" s="133"/>
      <c r="O210" s="133"/>
      <c r="P210" s="133"/>
    </row>
    <row r="211" spans="1:16" ht="30" customHeight="1">
      <c r="A211" s="95" t="s">
        <v>151</v>
      </c>
      <c r="B211" s="93">
        <f t="shared" si="18"/>
        <v>31832</v>
      </c>
      <c r="C211" s="188">
        <f t="shared" si="19"/>
        <v>20304</v>
      </c>
      <c r="D211" s="188">
        <v>16428</v>
      </c>
      <c r="E211" s="188">
        <v>3876</v>
      </c>
      <c r="F211" s="188">
        <f t="shared" si="17"/>
        <v>11528</v>
      </c>
      <c r="G211" s="133">
        <v>120</v>
      </c>
      <c r="H211" s="133">
        <v>2748</v>
      </c>
      <c r="I211" s="133">
        <v>8540</v>
      </c>
      <c r="J211" s="133"/>
      <c r="K211" s="133">
        <v>120</v>
      </c>
      <c r="L211" s="133"/>
      <c r="M211" s="133"/>
      <c r="N211" s="133"/>
      <c r="O211" s="133"/>
      <c r="P211" s="133"/>
    </row>
    <row r="212" spans="1:16" ht="30" customHeight="1">
      <c r="A212" s="95" t="s">
        <v>133</v>
      </c>
      <c r="B212" s="93">
        <f t="shared" si="18"/>
        <v>21600</v>
      </c>
      <c r="C212" s="188">
        <f t="shared" si="19"/>
        <v>12117</v>
      </c>
      <c r="D212" s="188">
        <v>9804</v>
      </c>
      <c r="E212" s="188">
        <v>2313</v>
      </c>
      <c r="F212" s="188">
        <f t="shared" si="17"/>
        <v>9483</v>
      </c>
      <c r="G212" s="133">
        <v>180</v>
      </c>
      <c r="H212" s="133">
        <v>5083</v>
      </c>
      <c r="I212" s="133">
        <v>4100</v>
      </c>
      <c r="J212" s="133"/>
      <c r="K212" s="133">
        <v>120</v>
      </c>
      <c r="L212" s="133"/>
      <c r="M212" s="136"/>
      <c r="N212" s="133"/>
      <c r="O212" s="133"/>
      <c r="P212" s="133"/>
    </row>
    <row r="213" spans="1:16" ht="30" customHeight="1">
      <c r="A213" s="96" t="s">
        <v>141</v>
      </c>
      <c r="B213" s="93">
        <f t="shared" si="18"/>
        <v>98061</v>
      </c>
      <c r="C213" s="188">
        <f t="shared" si="19"/>
        <v>50471</v>
      </c>
      <c r="D213" s="198">
        <v>40624</v>
      </c>
      <c r="E213" s="200">
        <v>9847</v>
      </c>
      <c r="F213" s="202">
        <f t="shared" si="17"/>
        <v>47590</v>
      </c>
      <c r="G213" s="136">
        <v>240</v>
      </c>
      <c r="H213" s="136">
        <v>13650</v>
      </c>
      <c r="I213" s="136">
        <v>33200</v>
      </c>
      <c r="J213" s="136"/>
      <c r="K213" s="136">
        <v>500</v>
      </c>
      <c r="L213" s="136"/>
      <c r="M213" s="134"/>
      <c r="N213" s="136"/>
      <c r="O213" s="136"/>
      <c r="P213" s="136"/>
    </row>
    <row r="214" spans="1:16" ht="30" customHeight="1">
      <c r="A214" s="95" t="s">
        <v>104</v>
      </c>
      <c r="B214" s="93">
        <f t="shared" si="18"/>
        <v>64390</v>
      </c>
      <c r="C214" s="188">
        <f t="shared" si="19"/>
        <v>31671</v>
      </c>
      <c r="D214" s="188">
        <v>25626</v>
      </c>
      <c r="E214" s="188">
        <v>6045</v>
      </c>
      <c r="F214" s="188">
        <f>SUM(G214:K214)</f>
        <v>32719</v>
      </c>
      <c r="G214" s="133">
        <v>40</v>
      </c>
      <c r="H214" s="133">
        <v>14235</v>
      </c>
      <c r="I214" s="133">
        <v>18118</v>
      </c>
      <c r="J214" s="133"/>
      <c r="K214" s="133">
        <v>326</v>
      </c>
      <c r="L214" s="133"/>
      <c r="M214" s="133"/>
      <c r="N214" s="133"/>
      <c r="O214" s="133"/>
      <c r="P214" s="133"/>
    </row>
    <row r="215" spans="1:16" ht="20.25" customHeight="1">
      <c r="A215" s="95" t="s">
        <v>152</v>
      </c>
      <c r="B215" s="93">
        <f t="shared" si="18"/>
        <v>35580</v>
      </c>
      <c r="C215" s="188">
        <f t="shared" si="19"/>
        <v>23084</v>
      </c>
      <c r="D215" s="188">
        <v>18678</v>
      </c>
      <c r="E215" s="188">
        <v>4406</v>
      </c>
      <c r="F215" s="188">
        <f t="shared" si="17"/>
        <v>12496</v>
      </c>
      <c r="G215" s="133"/>
      <c r="H215" s="133">
        <v>6301</v>
      </c>
      <c r="I215" s="133">
        <v>5795</v>
      </c>
      <c r="J215" s="133"/>
      <c r="K215" s="133">
        <v>400</v>
      </c>
      <c r="L215" s="133"/>
      <c r="M215" s="133"/>
      <c r="N215" s="133">
        <v>0</v>
      </c>
      <c r="O215" s="133"/>
      <c r="P215" s="133"/>
    </row>
    <row r="216" spans="1:16" ht="30" customHeight="1">
      <c r="A216" s="95" t="s">
        <v>147</v>
      </c>
      <c r="B216" s="93">
        <f t="shared" si="18"/>
        <v>23419</v>
      </c>
      <c r="C216" s="188">
        <f t="shared" si="19"/>
        <v>12695</v>
      </c>
      <c r="D216" s="188">
        <v>10272</v>
      </c>
      <c r="E216" s="188">
        <v>2423</v>
      </c>
      <c r="F216" s="188">
        <f t="shared" si="17"/>
        <v>10724</v>
      </c>
      <c r="G216" s="133">
        <v>60</v>
      </c>
      <c r="H216" s="133">
        <v>5180</v>
      </c>
      <c r="I216" s="133">
        <v>5080</v>
      </c>
      <c r="J216" s="133"/>
      <c r="K216" s="133">
        <v>404</v>
      </c>
      <c r="L216" s="133"/>
      <c r="M216" s="133"/>
      <c r="N216" s="133"/>
      <c r="O216" s="133"/>
      <c r="P216" s="133"/>
    </row>
    <row r="217" spans="1:16" ht="19.5" customHeight="1">
      <c r="A217" s="95" t="s">
        <v>149</v>
      </c>
      <c r="B217" s="93">
        <f t="shared" si="18"/>
        <v>37258</v>
      </c>
      <c r="C217" s="188">
        <f t="shared" si="19"/>
        <v>24160</v>
      </c>
      <c r="D217" s="188">
        <v>19548</v>
      </c>
      <c r="E217" s="188">
        <v>4612</v>
      </c>
      <c r="F217" s="188">
        <f>SUM(G217:K217)</f>
        <v>13098</v>
      </c>
      <c r="G217" s="133"/>
      <c r="H217" s="133">
        <f>6036+1192</f>
        <v>7228</v>
      </c>
      <c r="I217" s="133">
        <f>3950+1350</f>
        <v>5300</v>
      </c>
      <c r="J217" s="133"/>
      <c r="K217" s="133">
        <f>400+170</f>
        <v>570</v>
      </c>
      <c r="L217" s="133"/>
      <c r="M217" s="133"/>
      <c r="N217" s="133"/>
      <c r="O217" s="133"/>
      <c r="P217" s="133"/>
    </row>
    <row r="218" spans="1:16" ht="30" customHeight="1">
      <c r="A218" s="179" t="s">
        <v>140</v>
      </c>
      <c r="B218" s="93">
        <f t="shared" si="18"/>
        <v>28528</v>
      </c>
      <c r="C218" s="188">
        <f t="shared" si="19"/>
        <v>13160</v>
      </c>
      <c r="D218" s="188">
        <v>10648</v>
      </c>
      <c r="E218" s="188">
        <v>2512</v>
      </c>
      <c r="F218" s="188">
        <f t="shared" si="20" ref="F218:F242">SUM(G218:K218)</f>
        <v>15368</v>
      </c>
      <c r="G218" s="133">
        <v>104</v>
      </c>
      <c r="H218" s="133">
        <v>3850</v>
      </c>
      <c r="I218" s="133">
        <v>11214</v>
      </c>
      <c r="J218" s="133"/>
      <c r="K218" s="133">
        <v>200</v>
      </c>
      <c r="L218" s="133"/>
      <c r="M218" s="133"/>
      <c r="N218" s="133">
        <v>0</v>
      </c>
      <c r="O218" s="133"/>
      <c r="P218" s="133"/>
    </row>
    <row r="219" spans="1:16" ht="30" customHeight="1">
      <c r="A219" s="179" t="s">
        <v>36</v>
      </c>
      <c r="B219" s="93">
        <f t="shared" si="18"/>
        <v>6000</v>
      </c>
      <c r="C219" s="188">
        <f t="shared" si="19"/>
        <v>0</v>
      </c>
      <c r="D219" s="188"/>
      <c r="E219" s="188"/>
      <c r="F219" s="188">
        <f t="shared" si="20"/>
        <v>0</v>
      </c>
      <c r="G219" s="133"/>
      <c r="H219" s="133"/>
      <c r="I219" s="133"/>
      <c r="J219" s="133"/>
      <c r="K219" s="133"/>
      <c r="L219" s="133"/>
      <c r="M219" s="133"/>
      <c r="N219" s="133">
        <v>0</v>
      </c>
      <c r="O219" s="133">
        <v>6000</v>
      </c>
      <c r="P219" s="133"/>
    </row>
    <row r="220" spans="1:16" ht="37.5" customHeight="1">
      <c r="A220" s="180" t="s">
        <v>64</v>
      </c>
      <c r="B220" s="93">
        <f t="shared" si="18"/>
        <v>100000</v>
      </c>
      <c r="C220" s="188">
        <f t="shared" si="19"/>
        <v>0</v>
      </c>
      <c r="D220" s="188"/>
      <c r="E220" s="188"/>
      <c r="F220" s="188">
        <f t="shared" si="20"/>
        <v>0</v>
      </c>
      <c r="G220" s="133"/>
      <c r="H220" s="133"/>
      <c r="I220" s="133"/>
      <c r="J220" s="133"/>
      <c r="K220" s="133"/>
      <c r="L220" s="133"/>
      <c r="M220" s="133"/>
      <c r="N220" s="133"/>
      <c r="O220" s="133"/>
      <c r="P220" s="133">
        <v>100000</v>
      </c>
    </row>
    <row r="221" spans="1:16" ht="37.5" customHeight="1">
      <c r="A221" s="180" t="s">
        <v>712</v>
      </c>
      <c r="B221" s="93">
        <f t="shared" si="18"/>
        <v>44879</v>
      </c>
      <c r="C221" s="188">
        <f t="shared" si="19"/>
        <v>0</v>
      </c>
      <c r="D221" s="188"/>
      <c r="E221" s="188"/>
      <c r="F221" s="188">
        <f t="shared" si="20"/>
        <v>44879</v>
      </c>
      <c r="G221" s="133">
        <v>5088</v>
      </c>
      <c r="H221" s="133">
        <f>9470+2145</f>
        <v>11615</v>
      </c>
      <c r="I221" s="133">
        <f>22400+3726+2050</f>
        <v>28176</v>
      </c>
      <c r="J221" s="133"/>
      <c r="K221" s="133"/>
      <c r="L221" s="133"/>
      <c r="M221" s="133"/>
      <c r="N221" s="133"/>
      <c r="O221" s="133"/>
      <c r="P221" s="133"/>
    </row>
    <row r="222" spans="1:16" ht="35.25" customHeight="1">
      <c r="A222" s="180" t="s">
        <v>47</v>
      </c>
      <c r="B222" s="93">
        <f t="shared" si="18"/>
        <v>663</v>
      </c>
      <c r="C222" s="188">
        <f t="shared" si="19"/>
        <v>0</v>
      </c>
      <c r="D222" s="188"/>
      <c r="E222" s="188"/>
      <c r="F222" s="188">
        <f t="shared" si="20"/>
        <v>663</v>
      </c>
      <c r="G222" s="133"/>
      <c r="H222" s="133"/>
      <c r="I222" s="133">
        <v>663</v>
      </c>
      <c r="J222" s="133"/>
      <c r="K222" s="133"/>
      <c r="L222" s="133"/>
      <c r="M222" s="133"/>
      <c r="N222" s="133"/>
      <c r="O222" s="133"/>
      <c r="P222" s="133"/>
    </row>
    <row r="223" spans="1:16" ht="38.25" customHeight="1">
      <c r="A223" s="180" t="s">
        <v>165</v>
      </c>
      <c r="B223" s="93">
        <f t="shared" si="18"/>
        <v>8825</v>
      </c>
      <c r="C223" s="188">
        <f t="shared" si="19"/>
        <v>7415</v>
      </c>
      <c r="D223" s="188">
        <v>6000</v>
      </c>
      <c r="E223" s="188">
        <v>1415</v>
      </c>
      <c r="F223" s="188">
        <f t="shared" si="20"/>
        <v>1410</v>
      </c>
      <c r="G223" s="133"/>
      <c r="H223" s="133"/>
      <c r="I223" s="133">
        <v>1410</v>
      </c>
      <c r="J223" s="133"/>
      <c r="K223" s="133"/>
      <c r="L223" s="133"/>
      <c r="M223" s="133"/>
      <c r="N223" s="133"/>
      <c r="O223" s="133"/>
      <c r="P223" s="133"/>
    </row>
    <row r="224" spans="1:16" ht="32.25" customHeight="1">
      <c r="A224" s="179" t="s">
        <v>106</v>
      </c>
      <c r="B224" s="93">
        <f t="shared" si="18"/>
        <v>26933</v>
      </c>
      <c r="C224" s="188">
        <f t="shared" si="19"/>
        <v>6180</v>
      </c>
      <c r="D224" s="188">
        <v>5000</v>
      </c>
      <c r="E224" s="188">
        <v>1180</v>
      </c>
      <c r="F224" s="188">
        <f t="shared" si="20"/>
        <v>20753</v>
      </c>
      <c r="G224" s="133"/>
      <c r="H224" s="133"/>
      <c r="I224" s="133">
        <v>20753</v>
      </c>
      <c r="J224" s="133"/>
      <c r="K224" s="133"/>
      <c r="L224" s="133"/>
      <c r="M224" s="135"/>
      <c r="N224" s="133"/>
      <c r="O224" s="133"/>
      <c r="P224" s="133"/>
    </row>
    <row r="225" spans="1:16" ht="52.9" customHeight="1">
      <c r="A225" s="180" t="s">
        <v>183</v>
      </c>
      <c r="B225" s="93">
        <f t="shared" si="18"/>
        <v>476</v>
      </c>
      <c r="C225" s="188">
        <f t="shared" si="19"/>
        <v>476</v>
      </c>
      <c r="D225" s="188">
        <v>476</v>
      </c>
      <c r="E225" s="188"/>
      <c r="F225" s="188">
        <f t="shared" si="20"/>
        <v>0</v>
      </c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</row>
    <row r="226" spans="1:16" ht="65.25" customHeight="1">
      <c r="A226" s="180" t="s">
        <v>726</v>
      </c>
      <c r="B226" s="93">
        <f t="shared" si="18"/>
        <v>54065</v>
      </c>
      <c r="C226" s="188">
        <f t="shared" si="19"/>
        <v>0</v>
      </c>
      <c r="D226" s="188"/>
      <c r="E226" s="188"/>
      <c r="F226" s="188">
        <f t="shared" si="20"/>
        <v>54065</v>
      </c>
      <c r="G226" s="133">
        <v>46551</v>
      </c>
      <c r="H226" s="133">
        <v>7514</v>
      </c>
      <c r="I226" s="133"/>
      <c r="J226" s="133"/>
      <c r="K226" s="133"/>
      <c r="L226" s="133"/>
      <c r="M226" s="133"/>
      <c r="N226" s="133"/>
      <c r="O226" s="133"/>
      <c r="P226" s="133"/>
    </row>
    <row r="227" spans="1:16" ht="33.75" customHeight="1">
      <c r="A227" s="180" t="s">
        <v>720</v>
      </c>
      <c r="B227" s="93">
        <f t="shared" si="18"/>
        <v>8017</v>
      </c>
      <c r="C227" s="188">
        <f t="shared" si="19"/>
        <v>0</v>
      </c>
      <c r="D227" s="188"/>
      <c r="E227" s="188"/>
      <c r="F227" s="188">
        <f t="shared" si="20"/>
        <v>8017</v>
      </c>
      <c r="G227" s="133"/>
      <c r="H227" s="133">
        <v>8017</v>
      </c>
      <c r="I227" s="133"/>
      <c r="J227" s="133"/>
      <c r="K227" s="133"/>
      <c r="L227" s="133"/>
      <c r="M227" s="133"/>
      <c r="N227" s="133"/>
      <c r="O227" s="133"/>
      <c r="P227" s="133"/>
    </row>
    <row r="228" spans="1:16" ht="82.5" customHeight="1">
      <c r="A228" s="180" t="s">
        <v>722</v>
      </c>
      <c r="B228" s="93">
        <f t="shared" si="18"/>
        <v>45600</v>
      </c>
      <c r="C228" s="188">
        <f t="shared" si="19"/>
        <v>0</v>
      </c>
      <c r="D228" s="188"/>
      <c r="E228" s="188"/>
      <c r="F228" s="188">
        <f t="shared" si="20"/>
        <v>0</v>
      </c>
      <c r="G228" s="133"/>
      <c r="H228" s="133"/>
      <c r="I228" s="133"/>
      <c r="J228" s="133"/>
      <c r="K228" s="133"/>
      <c r="L228" s="133">
        <v>45600</v>
      </c>
      <c r="M228" s="133"/>
      <c r="N228" s="133"/>
      <c r="O228" s="133"/>
      <c r="P228" s="133"/>
    </row>
    <row r="229" spans="1:16" ht="39" customHeight="1">
      <c r="A229" s="180" t="s">
        <v>724</v>
      </c>
      <c r="B229" s="93">
        <f t="shared" si="18"/>
        <v>78870</v>
      </c>
      <c r="C229" s="188">
        <f t="shared" si="19"/>
        <v>78870</v>
      </c>
      <c r="D229" s="188">
        <v>78870</v>
      </c>
      <c r="E229" s="188"/>
      <c r="F229" s="188">
        <f t="shared" si="20"/>
        <v>0</v>
      </c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</row>
    <row r="230" spans="1:16" ht="18.6" customHeight="1">
      <c r="A230" s="179" t="s">
        <v>38</v>
      </c>
      <c r="B230" s="93">
        <f t="shared" si="18"/>
        <v>251064</v>
      </c>
      <c r="C230" s="188">
        <f t="shared" si="19"/>
        <v>228394</v>
      </c>
      <c r="D230" s="188">
        <v>184800</v>
      </c>
      <c r="E230" s="188">
        <v>43594</v>
      </c>
      <c r="F230" s="188">
        <f t="shared" si="20"/>
        <v>22670</v>
      </c>
      <c r="G230" s="133">
        <v>350</v>
      </c>
      <c r="H230" s="133">
        <v>12270</v>
      </c>
      <c r="I230" s="133">
        <v>10050</v>
      </c>
      <c r="J230" s="133"/>
      <c r="K230" s="133"/>
      <c r="L230" s="133"/>
      <c r="M230" s="133"/>
      <c r="N230" s="133"/>
      <c r="O230" s="133"/>
      <c r="P230" s="133"/>
    </row>
    <row r="231" spans="1:16" ht="22.9" customHeight="1">
      <c r="A231" s="179" t="s">
        <v>124</v>
      </c>
      <c r="B231" s="93">
        <f t="shared" si="18"/>
        <v>700714</v>
      </c>
      <c r="C231" s="188">
        <f t="shared" si="19"/>
        <v>604045</v>
      </c>
      <c r="D231" s="188">
        <v>479900</v>
      </c>
      <c r="E231" s="188">
        <v>124145</v>
      </c>
      <c r="F231" s="188">
        <f t="shared" si="20"/>
        <v>64761</v>
      </c>
      <c r="G231" s="133">
        <v>400</v>
      </c>
      <c r="H231" s="133">
        <v>44039</v>
      </c>
      <c r="I231" s="133">
        <v>19822</v>
      </c>
      <c r="J231" s="133"/>
      <c r="K231" s="133">
        <v>500</v>
      </c>
      <c r="L231" s="133"/>
      <c r="M231" s="133"/>
      <c r="N231" s="133">
        <v>31908</v>
      </c>
      <c r="O231" s="133"/>
      <c r="P231" s="133"/>
    </row>
    <row r="232" spans="1:16" ht="18" customHeight="1">
      <c r="A232" s="179" t="s">
        <v>173</v>
      </c>
      <c r="B232" s="93">
        <f t="shared" si="18"/>
        <v>1303047</v>
      </c>
      <c r="C232" s="188">
        <f t="shared" si="19"/>
        <v>0</v>
      </c>
      <c r="D232" s="188"/>
      <c r="E232" s="188"/>
      <c r="F232" s="188">
        <f t="shared" si="20"/>
        <v>0</v>
      </c>
      <c r="G232" s="133"/>
      <c r="H232" s="133"/>
      <c r="I232" s="133"/>
      <c r="J232" s="133"/>
      <c r="K232" s="133"/>
      <c r="L232" s="133"/>
      <c r="M232" s="133"/>
      <c r="N232" s="133"/>
      <c r="O232" s="133">
        <v>1303047</v>
      </c>
      <c r="P232" s="133"/>
    </row>
    <row r="233" spans="1:16" ht="21" customHeight="1">
      <c r="A233" s="179" t="s">
        <v>120</v>
      </c>
      <c r="B233" s="93">
        <f t="shared" si="18"/>
        <v>19690</v>
      </c>
      <c r="C233" s="188">
        <f t="shared" si="19"/>
        <v>0</v>
      </c>
      <c r="D233" s="188"/>
      <c r="E233" s="188"/>
      <c r="F233" s="188">
        <f t="shared" si="20"/>
        <v>0</v>
      </c>
      <c r="G233" s="133"/>
      <c r="H233" s="133"/>
      <c r="I233" s="133"/>
      <c r="J233" s="133"/>
      <c r="K233" s="133"/>
      <c r="L233" s="133"/>
      <c r="M233" s="133"/>
      <c r="N233" s="133"/>
      <c r="O233" s="133">
        <v>19690</v>
      </c>
      <c r="P233" s="133"/>
    </row>
    <row r="234" spans="1:16" ht="19.9" customHeight="1">
      <c r="A234" s="179" t="s">
        <v>39</v>
      </c>
      <c r="B234" s="93">
        <f t="shared" si="18"/>
        <v>22149</v>
      </c>
      <c r="C234" s="188">
        <f t="shared" si="19"/>
        <v>0</v>
      </c>
      <c r="D234" s="188"/>
      <c r="E234" s="188"/>
      <c r="F234" s="188">
        <f t="shared" si="20"/>
        <v>22149</v>
      </c>
      <c r="G234" s="133"/>
      <c r="H234" s="133">
        <v>19129</v>
      </c>
      <c r="I234" s="133">
        <v>3020</v>
      </c>
      <c r="J234" s="133"/>
      <c r="K234" s="133"/>
      <c r="L234" s="133"/>
      <c r="M234" s="133"/>
      <c r="N234" s="133"/>
      <c r="O234" s="133"/>
      <c r="P234" s="133"/>
    </row>
    <row r="235" spans="1:16" ht="24" customHeight="1">
      <c r="A235" s="179" t="s">
        <v>49</v>
      </c>
      <c r="B235" s="93">
        <f t="shared" si="18"/>
        <v>323666</v>
      </c>
      <c r="C235" s="188">
        <f t="shared" si="19"/>
        <v>90411</v>
      </c>
      <c r="D235" s="188">
        <v>73121</v>
      </c>
      <c r="E235" s="188">
        <v>17290</v>
      </c>
      <c r="F235" s="188">
        <f t="shared" si="20"/>
        <v>79878</v>
      </c>
      <c r="G235" s="133"/>
      <c r="H235" s="133">
        <v>78438</v>
      </c>
      <c r="I235" s="133">
        <v>1440</v>
      </c>
      <c r="J235" s="133"/>
      <c r="K235" s="133"/>
      <c r="L235" s="133"/>
      <c r="M235" s="133"/>
      <c r="N235" s="133">
        <v>0</v>
      </c>
      <c r="O235" s="133">
        <v>153377</v>
      </c>
      <c r="P235" s="133"/>
    </row>
    <row r="236" spans="1:16" ht="23.45" customHeight="1">
      <c r="A236" s="179" t="s">
        <v>37</v>
      </c>
      <c r="B236" s="93">
        <f t="shared" si="18"/>
        <v>1817804</v>
      </c>
      <c r="C236" s="188">
        <f t="shared" si="19"/>
        <v>1047430</v>
      </c>
      <c r="D236" s="188">
        <v>847504</v>
      </c>
      <c r="E236" s="188">
        <v>199926</v>
      </c>
      <c r="F236" s="188">
        <f t="shared" si="20"/>
        <v>768074</v>
      </c>
      <c r="G236" s="133">
        <v>300</v>
      </c>
      <c r="H236" s="133">
        <f>116692-2900</f>
        <v>113792</v>
      </c>
      <c r="I236" s="133">
        <f>656790-4468</f>
        <v>652322</v>
      </c>
      <c r="J236" s="133">
        <v>660</v>
      </c>
      <c r="K236" s="133">
        <v>1000</v>
      </c>
      <c r="L236" s="133"/>
      <c r="M236" s="133"/>
      <c r="N236" s="133">
        <v>0</v>
      </c>
      <c r="O236" s="133">
        <v>2300</v>
      </c>
      <c r="P236" s="133"/>
    </row>
    <row r="237" spans="1:16" ht="28.15" customHeight="1">
      <c r="A237" s="179" t="s">
        <v>79</v>
      </c>
      <c r="B237" s="93">
        <f t="shared" si="18"/>
        <v>348217</v>
      </c>
      <c r="C237" s="188">
        <f t="shared" si="19"/>
        <v>239119</v>
      </c>
      <c r="D237" s="188">
        <v>193478</v>
      </c>
      <c r="E237" s="188">
        <v>45641</v>
      </c>
      <c r="F237" s="188">
        <f t="shared" si="20"/>
        <v>109098</v>
      </c>
      <c r="G237" s="133">
        <f>730-450</f>
        <v>280</v>
      </c>
      <c r="H237" s="133">
        <v>16016</v>
      </c>
      <c r="I237" s="133">
        <v>92602</v>
      </c>
      <c r="J237" s="133"/>
      <c r="K237" s="133">
        <v>200</v>
      </c>
      <c r="L237" s="133"/>
      <c r="M237" s="133"/>
      <c r="N237" s="133"/>
      <c r="O237" s="133"/>
      <c r="P237" s="133"/>
    </row>
    <row r="238" spans="1:16" ht="23.45" customHeight="1">
      <c r="A238" s="180" t="s">
        <v>81</v>
      </c>
      <c r="B238" s="93">
        <f t="shared" si="18"/>
        <v>229815</v>
      </c>
      <c r="C238" s="188">
        <f t="shared" si="19"/>
        <v>150587</v>
      </c>
      <c r="D238" s="188">
        <v>121844</v>
      </c>
      <c r="E238" s="188">
        <v>28743</v>
      </c>
      <c r="F238" s="188">
        <f t="shared" si="20"/>
        <v>75628</v>
      </c>
      <c r="G238" s="133">
        <v>60</v>
      </c>
      <c r="H238" s="133">
        <v>21373</v>
      </c>
      <c r="I238" s="133">
        <v>54195</v>
      </c>
      <c r="J238" s="133"/>
      <c r="K238" s="133"/>
      <c r="L238" s="133"/>
      <c r="M238" s="133"/>
      <c r="N238" s="133">
        <v>3600</v>
      </c>
      <c r="O238" s="133">
        <v>0</v>
      </c>
      <c r="P238" s="133"/>
    </row>
    <row r="239" spans="1:16" ht="22.9" customHeight="1">
      <c r="A239" s="180" t="s">
        <v>80</v>
      </c>
      <c r="B239" s="93">
        <f t="shared" si="18"/>
        <v>344311</v>
      </c>
      <c r="C239" s="188">
        <f t="shared" si="19"/>
        <v>242085</v>
      </c>
      <c r="D239" s="188">
        <v>191246</v>
      </c>
      <c r="E239" s="188">
        <v>50839</v>
      </c>
      <c r="F239" s="188">
        <f>SUM(G239:K239)</f>
        <v>96878</v>
      </c>
      <c r="G239" s="133">
        <v>48</v>
      </c>
      <c r="H239" s="133">
        <f>32634-1500-4200</f>
        <v>26934</v>
      </c>
      <c r="I239" s="133">
        <v>69648</v>
      </c>
      <c r="J239" s="133"/>
      <c r="K239" s="133">
        <v>248</v>
      </c>
      <c r="L239" s="133"/>
      <c r="M239" s="133"/>
      <c r="N239" s="133">
        <v>5348</v>
      </c>
      <c r="O239" s="133"/>
      <c r="P239" s="133"/>
    </row>
    <row r="240" spans="1:16" ht="30" customHeight="1">
      <c r="A240" s="180" t="s">
        <v>67</v>
      </c>
      <c r="B240" s="93">
        <f t="shared" si="18"/>
        <v>265255</v>
      </c>
      <c r="C240" s="188">
        <f t="shared" si="19"/>
        <v>227767</v>
      </c>
      <c r="D240" s="188">
        <v>185662</v>
      </c>
      <c r="E240" s="188">
        <v>42105</v>
      </c>
      <c r="F240" s="188">
        <f t="shared" si="20"/>
        <v>37488</v>
      </c>
      <c r="G240" s="133">
        <v>476</v>
      </c>
      <c r="H240" s="133">
        <f>41417-13000</f>
        <v>28417</v>
      </c>
      <c r="I240" s="133">
        <v>8595</v>
      </c>
      <c r="J240" s="133"/>
      <c r="K240" s="133"/>
      <c r="L240" s="133"/>
      <c r="M240" s="139"/>
      <c r="N240" s="133"/>
      <c r="O240" s="133"/>
      <c r="P240" s="133"/>
    </row>
    <row r="241" spans="1:16" ht="30" customHeight="1">
      <c r="A241" s="183" t="s">
        <v>125</v>
      </c>
      <c r="B241" s="93">
        <f t="shared" si="18"/>
        <v>82926</v>
      </c>
      <c r="C241" s="188">
        <f t="shared" si="19"/>
        <v>73486</v>
      </c>
      <c r="D241" s="197">
        <v>58693</v>
      </c>
      <c r="E241" s="197">
        <v>14793</v>
      </c>
      <c r="F241" s="188">
        <f t="shared" si="20"/>
        <v>9440</v>
      </c>
      <c r="G241" s="139">
        <v>100</v>
      </c>
      <c r="H241" s="139">
        <v>2708</v>
      </c>
      <c r="I241" s="139">
        <v>6632</v>
      </c>
      <c r="J241" s="139"/>
      <c r="K241" s="139"/>
      <c r="L241" s="139"/>
      <c r="M241" s="133"/>
      <c r="N241" s="139"/>
      <c r="O241" s="139"/>
      <c r="P241" s="139"/>
    </row>
    <row r="242" spans="1:16" ht="30" customHeight="1">
      <c r="A242" s="179" t="s">
        <v>126</v>
      </c>
      <c r="B242" s="93">
        <f t="shared" si="18"/>
        <v>140092</v>
      </c>
      <c r="C242" s="188">
        <f t="shared" si="19"/>
        <v>123259</v>
      </c>
      <c r="D242" s="188">
        <v>101242</v>
      </c>
      <c r="E242" s="188">
        <v>22017</v>
      </c>
      <c r="F242" s="188">
        <f t="shared" si="20"/>
        <v>16833</v>
      </c>
      <c r="G242" s="133"/>
      <c r="H242" s="133">
        <f>7254-750</f>
        <v>6504</v>
      </c>
      <c r="I242" s="133">
        <v>10329</v>
      </c>
      <c r="J242" s="133"/>
      <c r="K242" s="133"/>
      <c r="L242" s="133"/>
      <c r="M242" s="136"/>
      <c r="N242" s="133"/>
      <c r="O242" s="133"/>
      <c r="P242" s="133"/>
    </row>
    <row r="243" spans="1:16" ht="30" customHeight="1">
      <c r="A243" s="179" t="s">
        <v>40</v>
      </c>
      <c r="B243" s="93">
        <f t="shared" si="18"/>
        <v>685761</v>
      </c>
      <c r="C243" s="188">
        <f t="shared" si="19"/>
        <v>629493</v>
      </c>
      <c r="D243" s="188">
        <v>509125</v>
      </c>
      <c r="E243" s="188">
        <v>120368</v>
      </c>
      <c r="F243" s="188">
        <f t="shared" si="21" ref="F243:F255">SUM(G243:K243)</f>
        <v>48468</v>
      </c>
      <c r="G243" s="133"/>
      <c r="H243" s="133">
        <v>24938</v>
      </c>
      <c r="I243" s="133">
        <v>23530</v>
      </c>
      <c r="J243" s="133"/>
      <c r="K243" s="133"/>
      <c r="L243" s="133"/>
      <c r="M243" s="133"/>
      <c r="N243" s="133">
        <v>7800</v>
      </c>
      <c r="O243" s="133"/>
      <c r="P243" s="133"/>
    </row>
    <row r="244" spans="1:16" ht="30" customHeight="1">
      <c r="A244" s="179" t="s">
        <v>45</v>
      </c>
      <c r="B244" s="93">
        <f t="shared" si="18"/>
        <v>21420</v>
      </c>
      <c r="C244" s="188">
        <f t="shared" si="19"/>
        <v>0</v>
      </c>
      <c r="D244" s="188"/>
      <c r="E244" s="188"/>
      <c r="F244" s="188">
        <f t="shared" si="21"/>
        <v>21420</v>
      </c>
      <c r="G244" s="133"/>
      <c r="H244" s="133">
        <v>21420</v>
      </c>
      <c r="I244" s="133"/>
      <c r="J244" s="133"/>
      <c r="K244" s="133"/>
      <c r="L244" s="133"/>
      <c r="M244" s="133"/>
      <c r="N244" s="133"/>
      <c r="O244" s="133"/>
      <c r="P244" s="133"/>
    </row>
    <row r="245" spans="1:16" ht="30" customHeight="1">
      <c r="A245" s="179" t="s">
        <v>737</v>
      </c>
      <c r="B245" s="93">
        <f t="shared" si="18"/>
        <v>150</v>
      </c>
      <c r="C245" s="188"/>
      <c r="D245" s="188"/>
      <c r="E245" s="188"/>
      <c r="F245" s="188"/>
      <c r="G245" s="133"/>
      <c r="H245" s="133"/>
      <c r="I245" s="133"/>
      <c r="J245" s="133"/>
      <c r="K245" s="133"/>
      <c r="L245" s="133">
        <v>150</v>
      </c>
      <c r="M245" s="133"/>
      <c r="N245" s="133"/>
      <c r="O245" s="133"/>
      <c r="P245" s="133"/>
    </row>
    <row r="246" spans="1:16" ht="26.25" customHeight="1">
      <c r="A246" s="180" t="s">
        <v>167</v>
      </c>
      <c r="B246" s="93">
        <f t="shared" si="18"/>
        <v>630</v>
      </c>
      <c r="C246" s="188">
        <f t="shared" si="19"/>
        <v>0</v>
      </c>
      <c r="D246" s="188"/>
      <c r="E246" s="188"/>
      <c r="F246" s="188">
        <f t="shared" si="21"/>
        <v>0</v>
      </c>
      <c r="G246" s="133"/>
      <c r="H246" s="133"/>
      <c r="I246" s="133"/>
      <c r="J246" s="133"/>
      <c r="K246" s="133"/>
      <c r="L246" s="133">
        <v>630</v>
      </c>
      <c r="M246" s="133"/>
      <c r="N246" s="133"/>
      <c r="O246" s="133"/>
      <c r="P246" s="133"/>
    </row>
    <row r="247" spans="1:16" ht="25.9" customHeight="1">
      <c r="A247" s="180" t="s">
        <v>168</v>
      </c>
      <c r="B247" s="93">
        <f t="shared" si="18"/>
        <v>500</v>
      </c>
      <c r="C247" s="188">
        <f t="shared" si="19"/>
        <v>0</v>
      </c>
      <c r="D247" s="188"/>
      <c r="E247" s="188"/>
      <c r="F247" s="188">
        <f t="shared" si="21"/>
        <v>0</v>
      </c>
      <c r="G247" s="133"/>
      <c r="H247" s="133"/>
      <c r="I247" s="133"/>
      <c r="J247" s="133"/>
      <c r="K247" s="133"/>
      <c r="L247" s="133">
        <v>500</v>
      </c>
      <c r="M247" s="133"/>
      <c r="N247" s="133"/>
      <c r="O247" s="133"/>
      <c r="P247" s="133"/>
    </row>
    <row r="248" spans="1:16" ht="24" customHeight="1">
      <c r="A248" s="180" t="s">
        <v>169</v>
      </c>
      <c r="B248" s="93">
        <f t="shared" si="18"/>
        <v>1000</v>
      </c>
      <c r="C248" s="188">
        <f t="shared" si="19"/>
        <v>0</v>
      </c>
      <c r="D248" s="188"/>
      <c r="E248" s="188"/>
      <c r="F248" s="188">
        <f t="shared" si="21"/>
        <v>0</v>
      </c>
      <c r="G248" s="133"/>
      <c r="H248" s="133"/>
      <c r="I248" s="133"/>
      <c r="J248" s="133"/>
      <c r="K248" s="133"/>
      <c r="L248" s="133">
        <v>1000</v>
      </c>
      <c r="M248" s="133"/>
      <c r="N248" s="133"/>
      <c r="O248" s="133"/>
      <c r="P248" s="133"/>
    </row>
    <row r="249" spans="1:16" ht="28.9" customHeight="1">
      <c r="A249" s="180" t="s">
        <v>615</v>
      </c>
      <c r="B249" s="93">
        <f t="shared" si="18"/>
        <v>300</v>
      </c>
      <c r="C249" s="188">
        <f t="shared" si="19"/>
        <v>0</v>
      </c>
      <c r="D249" s="188"/>
      <c r="E249" s="188"/>
      <c r="F249" s="188"/>
      <c r="G249" s="133"/>
      <c r="H249" s="133"/>
      <c r="I249" s="133"/>
      <c r="J249" s="133"/>
      <c r="K249" s="133"/>
      <c r="L249" s="133">
        <v>300</v>
      </c>
      <c r="M249" s="133"/>
      <c r="N249" s="133"/>
      <c r="O249" s="133"/>
      <c r="P249" s="133"/>
    </row>
    <row r="250" spans="1:16" ht="28.9" customHeight="1">
      <c r="A250" s="180" t="s">
        <v>738</v>
      </c>
      <c r="B250" s="93">
        <f t="shared" si="18"/>
        <v>600</v>
      </c>
      <c r="C250" s="188"/>
      <c r="D250" s="188"/>
      <c r="E250" s="188"/>
      <c r="F250" s="188"/>
      <c r="G250" s="133"/>
      <c r="H250" s="133"/>
      <c r="I250" s="133"/>
      <c r="J250" s="133"/>
      <c r="K250" s="133"/>
      <c r="L250" s="133">
        <v>600</v>
      </c>
      <c r="M250" s="133"/>
      <c r="N250" s="133"/>
      <c r="O250" s="133"/>
      <c r="P250" s="133"/>
    </row>
    <row r="251" spans="1:16" ht="32.45" customHeight="1">
      <c r="A251" s="217" t="s">
        <v>543</v>
      </c>
      <c r="B251" s="93">
        <f t="shared" si="18"/>
        <v>9700</v>
      </c>
      <c r="C251" s="188">
        <f t="shared" si="19"/>
        <v>0</v>
      </c>
      <c r="D251" s="188"/>
      <c r="E251" s="188"/>
      <c r="F251" s="188">
        <f>SUM(G251:K251)</f>
        <v>9700</v>
      </c>
      <c r="G251" s="133"/>
      <c r="H251" s="133">
        <v>9700</v>
      </c>
      <c r="I251" s="133"/>
      <c r="J251" s="133"/>
      <c r="K251" s="133"/>
      <c r="L251" s="133"/>
      <c r="M251" s="133"/>
      <c r="N251" s="133"/>
      <c r="O251" s="133"/>
      <c r="P251" s="133"/>
    </row>
    <row r="252" spans="1:16" ht="23.25" customHeight="1">
      <c r="A252" s="180" t="s">
        <v>123</v>
      </c>
      <c r="B252" s="93">
        <f t="shared" si="18"/>
        <v>150000</v>
      </c>
      <c r="C252" s="188">
        <f t="shared" si="19"/>
        <v>0</v>
      </c>
      <c r="D252" s="188"/>
      <c r="E252" s="188"/>
      <c r="F252" s="188">
        <f t="shared" si="21"/>
        <v>0</v>
      </c>
      <c r="G252" s="133"/>
      <c r="H252" s="133"/>
      <c r="I252" s="133"/>
      <c r="J252" s="133"/>
      <c r="K252" s="133"/>
      <c r="L252" s="133"/>
      <c r="M252" s="133"/>
      <c r="N252" s="133">
        <v>150000</v>
      </c>
      <c r="O252" s="133"/>
      <c r="P252" s="133"/>
    </row>
    <row r="253" spans="1:16" ht="23.25" customHeight="1">
      <c r="A253" s="180" t="s">
        <v>710</v>
      </c>
      <c r="B253" s="93">
        <f t="shared" si="18"/>
        <v>12996</v>
      </c>
      <c r="C253" s="188">
        <f t="shared" si="19"/>
        <v>0</v>
      </c>
      <c r="D253" s="188"/>
      <c r="E253" s="188"/>
      <c r="F253" s="188">
        <f t="shared" si="21"/>
        <v>0</v>
      </c>
      <c r="G253" s="133"/>
      <c r="H253" s="133"/>
      <c r="I253" s="133"/>
      <c r="J253" s="133"/>
      <c r="K253" s="133"/>
      <c r="L253" s="133"/>
      <c r="M253" s="133"/>
      <c r="N253" s="133">
        <v>12996</v>
      </c>
      <c r="O253" s="133"/>
      <c r="P253" s="133"/>
    </row>
    <row r="254" spans="1:16" ht="21.75" customHeight="1">
      <c r="A254" s="180" t="s">
        <v>571</v>
      </c>
      <c r="B254" s="93">
        <f t="shared" si="18"/>
        <v>120000</v>
      </c>
      <c r="C254" s="188">
        <f t="shared" si="19"/>
        <v>0</v>
      </c>
      <c r="D254" s="188"/>
      <c r="E254" s="188"/>
      <c r="F254" s="188">
        <f>SUM(G254:K254)</f>
        <v>0</v>
      </c>
      <c r="G254" s="133"/>
      <c r="H254" s="133"/>
      <c r="I254" s="133"/>
      <c r="J254" s="133"/>
      <c r="K254" s="133"/>
      <c r="L254" s="133"/>
      <c r="M254" s="133"/>
      <c r="N254" s="133">
        <v>120000</v>
      </c>
      <c r="O254" s="133"/>
      <c r="P254" s="133"/>
    </row>
    <row r="255" spans="1:16" ht="35.25" customHeight="1">
      <c r="A255" s="180" t="s">
        <v>570</v>
      </c>
      <c r="B255" s="93">
        <f t="shared" si="18"/>
        <v>7865</v>
      </c>
      <c r="C255" s="188">
        <f t="shared" si="19"/>
        <v>0</v>
      </c>
      <c r="D255" s="188"/>
      <c r="E255" s="188"/>
      <c r="F255" s="188">
        <f t="shared" si="21"/>
        <v>7865</v>
      </c>
      <c r="G255" s="133"/>
      <c r="H255" s="133">
        <v>7865</v>
      </c>
      <c r="I255" s="133"/>
      <c r="J255" s="133"/>
      <c r="K255" s="133"/>
      <c r="L255" s="133"/>
      <c r="M255" s="133"/>
      <c r="N255" s="133"/>
      <c r="O255" s="133"/>
      <c r="P255" s="133"/>
    </row>
    <row r="256" spans="1:16" ht="33.75" customHeight="1">
      <c r="A256" s="180" t="s">
        <v>742</v>
      </c>
      <c r="B256" s="93">
        <f t="shared" si="18"/>
        <v>4000</v>
      </c>
      <c r="C256" s="188">
        <f t="shared" si="19"/>
        <v>742</v>
      </c>
      <c r="D256" s="188">
        <v>600</v>
      </c>
      <c r="E256" s="188">
        <v>142</v>
      </c>
      <c r="F256" s="188">
        <f>SUM(G256:K256)</f>
        <v>3258</v>
      </c>
      <c r="G256" s="133"/>
      <c r="H256" s="133">
        <v>2098</v>
      </c>
      <c r="I256" s="133">
        <v>1160</v>
      </c>
      <c r="J256" s="133"/>
      <c r="K256" s="133"/>
      <c r="L256" s="133"/>
      <c r="M256" s="133"/>
      <c r="N256" s="133"/>
      <c r="O256" s="133"/>
      <c r="P256" s="133"/>
    </row>
    <row r="257" spans="1:16" s="83" customFormat="1" ht="30" customHeight="1">
      <c r="A257" s="180" t="s">
        <v>581</v>
      </c>
      <c r="B257" s="93">
        <f t="shared" si="18"/>
        <v>3999</v>
      </c>
      <c r="C257" s="188">
        <f t="shared" si="19"/>
        <v>0</v>
      </c>
      <c r="D257" s="188"/>
      <c r="E257" s="188"/>
      <c r="F257" s="188"/>
      <c r="G257" s="133"/>
      <c r="H257" s="133"/>
      <c r="I257" s="133"/>
      <c r="J257" s="133"/>
      <c r="K257" s="133"/>
      <c r="L257" s="133">
        <v>3999</v>
      </c>
      <c r="M257" s="133"/>
      <c r="N257" s="133"/>
      <c r="O257" s="133"/>
      <c r="P257" s="133"/>
    </row>
    <row r="258" spans="1:16" ht="37.9" customHeight="1">
      <c r="A258" s="180" t="s">
        <v>610</v>
      </c>
      <c r="B258" s="93">
        <f t="shared" si="18"/>
        <v>12000</v>
      </c>
      <c r="C258" s="188">
        <f t="shared" si="19"/>
        <v>0</v>
      </c>
      <c r="D258" s="188"/>
      <c r="E258" s="188"/>
      <c r="F258" s="188"/>
      <c r="G258" s="133"/>
      <c r="H258" s="133"/>
      <c r="I258" s="133"/>
      <c r="J258" s="133"/>
      <c r="K258" s="133"/>
      <c r="L258" s="133">
        <v>12000</v>
      </c>
      <c r="M258" s="133"/>
      <c r="N258" s="133"/>
      <c r="O258" s="133"/>
      <c r="P258" s="133"/>
    </row>
    <row r="259" spans="1:16" ht="30" customHeight="1">
      <c r="A259" s="180" t="s">
        <v>619</v>
      </c>
      <c r="B259" s="93">
        <f t="shared" si="18"/>
        <v>1449</v>
      </c>
      <c r="C259" s="188">
        <f t="shared" si="22" ref="C259:C272">D259+E259</f>
        <v>0</v>
      </c>
      <c r="D259" s="188"/>
      <c r="E259" s="188"/>
      <c r="F259" s="188">
        <f t="shared" si="23" ref="F259:F273">G259+H259+I259+K259</f>
        <v>0</v>
      </c>
      <c r="G259" s="133"/>
      <c r="H259" s="133"/>
      <c r="I259" s="133"/>
      <c r="J259" s="133"/>
      <c r="K259" s="133"/>
      <c r="L259" s="133"/>
      <c r="M259" s="133"/>
      <c r="N259" s="133"/>
      <c r="O259" s="133"/>
      <c r="P259" s="133">
        <v>1449</v>
      </c>
    </row>
    <row r="260" spans="1:16" ht="39.75" customHeight="1">
      <c r="A260" s="180" t="s">
        <v>621</v>
      </c>
      <c r="B260" s="93">
        <f t="shared" si="18"/>
        <v>1976</v>
      </c>
      <c r="C260" s="188">
        <f t="shared" si="22"/>
        <v>0</v>
      </c>
      <c r="D260" s="188"/>
      <c r="E260" s="188"/>
      <c r="F260" s="188">
        <f t="shared" si="23"/>
        <v>1976</v>
      </c>
      <c r="G260" s="133">
        <v>1976</v>
      </c>
      <c r="H260" s="133"/>
      <c r="I260" s="133"/>
      <c r="J260" s="133"/>
      <c r="K260" s="133"/>
      <c r="L260" s="133"/>
      <c r="M260" s="133"/>
      <c r="N260" s="133"/>
      <c r="O260" s="133"/>
      <c r="P260" s="133"/>
    </row>
    <row r="261" spans="1:16" ht="42" customHeight="1">
      <c r="A261" s="180" t="s">
        <v>620</v>
      </c>
      <c r="B261" s="93">
        <f t="shared" si="18"/>
        <v>4459</v>
      </c>
      <c r="C261" s="188">
        <f t="shared" si="22"/>
        <v>0</v>
      </c>
      <c r="D261" s="188"/>
      <c r="E261" s="188"/>
      <c r="F261" s="188">
        <f t="shared" si="23"/>
        <v>4459</v>
      </c>
      <c r="G261" s="133">
        <v>4459</v>
      </c>
      <c r="H261" s="133"/>
      <c r="I261" s="133"/>
      <c r="J261" s="133"/>
      <c r="K261" s="133"/>
      <c r="L261" s="133"/>
      <c r="M261" s="133"/>
      <c r="N261" s="133"/>
      <c r="O261" s="133"/>
      <c r="P261" s="133"/>
    </row>
    <row r="262" spans="1:16" ht="26.45" customHeight="1">
      <c r="A262" s="180" t="s">
        <v>622</v>
      </c>
      <c r="B262" s="93">
        <f t="shared" si="18"/>
        <v>30000</v>
      </c>
      <c r="C262" s="188">
        <f t="shared" si="22"/>
        <v>30000</v>
      </c>
      <c r="D262" s="188">
        <v>24274</v>
      </c>
      <c r="E262" s="188">
        <v>5726</v>
      </c>
      <c r="F262" s="188">
        <f t="shared" si="23"/>
        <v>0</v>
      </c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</row>
    <row r="263" spans="1:16" ht="51" customHeight="1">
      <c r="A263" s="180" t="s">
        <v>711</v>
      </c>
      <c r="B263" s="93">
        <f t="shared" si="18"/>
        <v>44284</v>
      </c>
      <c r="C263" s="188">
        <f t="shared" si="22"/>
        <v>0</v>
      </c>
      <c r="D263" s="188"/>
      <c r="E263" s="188"/>
      <c r="F263" s="188">
        <f t="shared" si="23"/>
        <v>0</v>
      </c>
      <c r="G263" s="133"/>
      <c r="H263" s="133"/>
      <c r="I263" s="133"/>
      <c r="J263" s="133"/>
      <c r="K263" s="133"/>
      <c r="L263" s="133"/>
      <c r="M263" s="133"/>
      <c r="N263" s="133">
        <v>44284</v>
      </c>
      <c r="O263" s="133"/>
      <c r="P263" s="133"/>
    </row>
    <row r="264" spans="1:16" ht="46.5" customHeight="1">
      <c r="A264" s="180" t="s">
        <v>713</v>
      </c>
      <c r="B264" s="93">
        <f t="shared" si="18"/>
        <v>312965</v>
      </c>
      <c r="C264" s="188">
        <f t="shared" si="22"/>
        <v>0</v>
      </c>
      <c r="D264" s="188"/>
      <c r="E264" s="188"/>
      <c r="F264" s="188">
        <f t="shared" si="23"/>
        <v>0</v>
      </c>
      <c r="G264" s="133"/>
      <c r="H264" s="133"/>
      <c r="I264" s="133"/>
      <c r="J264" s="133"/>
      <c r="K264" s="133"/>
      <c r="L264" s="133"/>
      <c r="M264" s="133"/>
      <c r="N264" s="133">
        <v>312965</v>
      </c>
      <c r="O264" s="133"/>
      <c r="P264" s="133"/>
    </row>
    <row r="265" spans="1:16" ht="34.5" customHeight="1">
      <c r="A265" s="211" t="s">
        <v>728</v>
      </c>
      <c r="B265" s="93">
        <f t="shared" si="18"/>
        <v>498</v>
      </c>
      <c r="C265" s="188">
        <f t="shared" si="22"/>
        <v>498</v>
      </c>
      <c r="D265" s="188">
        <v>498</v>
      </c>
      <c r="E265" s="188"/>
      <c r="F265" s="188">
        <f t="shared" si="23"/>
        <v>0</v>
      </c>
      <c r="G265" s="133"/>
      <c r="H265" s="133"/>
      <c r="I265" s="133"/>
      <c r="J265" s="133"/>
      <c r="K265" s="133"/>
      <c r="L265" s="133"/>
      <c r="M265" s="90"/>
      <c r="N265" s="133"/>
      <c r="O265" s="133"/>
      <c r="P265" s="133"/>
    </row>
    <row r="266" spans="1:16" ht="43.5" customHeight="1">
      <c r="A266" s="122" t="s">
        <v>655</v>
      </c>
      <c r="B266" s="93">
        <f t="shared" si="18"/>
        <v>20142</v>
      </c>
      <c r="C266" s="188">
        <f t="shared" si="22"/>
        <v>0</v>
      </c>
      <c r="D266" s="188"/>
      <c r="E266" s="188"/>
      <c r="F266" s="188">
        <f t="shared" si="23"/>
        <v>20142</v>
      </c>
      <c r="G266" s="133">
        <v>20142</v>
      </c>
      <c r="H266" s="133"/>
      <c r="I266" s="133"/>
      <c r="J266" s="133"/>
      <c r="K266" s="133"/>
      <c r="L266" s="133"/>
      <c r="M266" s="90"/>
      <c r="N266" s="133"/>
      <c r="O266" s="133"/>
      <c r="P266" s="133"/>
    </row>
    <row r="267" spans="1:16" ht="48" customHeight="1">
      <c r="A267" s="122" t="s">
        <v>656</v>
      </c>
      <c r="B267" s="93">
        <f t="shared" si="18"/>
        <v>7509</v>
      </c>
      <c r="C267" s="188">
        <f t="shared" si="22"/>
        <v>0</v>
      </c>
      <c r="D267" s="188"/>
      <c r="E267" s="188"/>
      <c r="F267" s="188">
        <f t="shared" si="23"/>
        <v>7509</v>
      </c>
      <c r="G267" s="133">
        <v>7509</v>
      </c>
      <c r="H267" s="133">
        <v>0</v>
      </c>
      <c r="I267" s="133"/>
      <c r="J267" s="133"/>
      <c r="K267" s="133"/>
      <c r="L267" s="133"/>
      <c r="M267" s="90"/>
      <c r="N267" s="133"/>
      <c r="O267" s="133"/>
      <c r="P267" s="133"/>
    </row>
    <row r="268" spans="1:16" ht="42" customHeight="1">
      <c r="A268" s="122" t="s">
        <v>657</v>
      </c>
      <c r="B268" s="93">
        <f t="shared" si="24" ref="B268:B275">SUM(C268+F268,L268:P268)</f>
        <v>10481</v>
      </c>
      <c r="C268" s="188">
        <f t="shared" si="22"/>
        <v>0</v>
      </c>
      <c r="D268" s="188"/>
      <c r="E268" s="188"/>
      <c r="F268" s="188">
        <f t="shared" si="23"/>
        <v>10481</v>
      </c>
      <c r="G268" s="133">
        <v>10481</v>
      </c>
      <c r="H268" s="133"/>
      <c r="I268" s="133"/>
      <c r="J268" s="133"/>
      <c r="K268" s="133"/>
      <c r="L268" s="133"/>
      <c r="M268" s="90"/>
      <c r="N268" s="133"/>
      <c r="O268" s="133"/>
      <c r="P268" s="133"/>
    </row>
    <row r="269" spans="1:16" ht="37.5" customHeight="1">
      <c r="A269" s="122" t="s">
        <v>651</v>
      </c>
      <c r="B269" s="93">
        <f t="shared" si="24"/>
        <v>566180</v>
      </c>
      <c r="C269" s="188">
        <f t="shared" si="22"/>
        <v>0</v>
      </c>
      <c r="D269" s="188"/>
      <c r="E269" s="188"/>
      <c r="F269" s="188">
        <f t="shared" si="23"/>
        <v>0</v>
      </c>
      <c r="G269" s="133"/>
      <c r="H269" s="133"/>
      <c r="I269" s="133"/>
      <c r="J269" s="133"/>
      <c r="K269" s="133"/>
      <c r="L269" s="133"/>
      <c r="M269" s="90"/>
      <c r="N269" s="133">
        <v>566180</v>
      </c>
      <c r="O269" s="133"/>
      <c r="P269" s="133"/>
    </row>
    <row r="270" spans="1:16" ht="68.25" customHeight="1">
      <c r="A270" s="122" t="s">
        <v>652</v>
      </c>
      <c r="B270" s="93">
        <f t="shared" si="24"/>
        <v>297249</v>
      </c>
      <c r="C270" s="188">
        <f t="shared" si="22"/>
        <v>0</v>
      </c>
      <c r="D270" s="188"/>
      <c r="E270" s="188"/>
      <c r="F270" s="188">
        <f t="shared" si="23"/>
        <v>0</v>
      </c>
      <c r="G270" s="133"/>
      <c r="H270" s="133"/>
      <c r="I270" s="133"/>
      <c r="J270" s="133"/>
      <c r="K270" s="133"/>
      <c r="L270" s="133"/>
      <c r="M270" s="90"/>
      <c r="N270" s="133">
        <v>297249</v>
      </c>
      <c r="O270" s="133"/>
      <c r="P270" s="133"/>
    </row>
    <row r="271" spans="1:16" ht="54.75" customHeight="1">
      <c r="A271" s="122" t="s">
        <v>653</v>
      </c>
      <c r="B271" s="93">
        <f t="shared" si="24"/>
        <v>1613491</v>
      </c>
      <c r="C271" s="188">
        <f t="shared" si="22"/>
        <v>0</v>
      </c>
      <c r="D271" s="188"/>
      <c r="E271" s="188"/>
      <c r="F271" s="188">
        <f t="shared" si="23"/>
        <v>0</v>
      </c>
      <c r="G271" s="133"/>
      <c r="H271" s="133"/>
      <c r="I271" s="133"/>
      <c r="J271" s="133"/>
      <c r="K271" s="133"/>
      <c r="L271" s="133"/>
      <c r="M271" s="90"/>
      <c r="N271" s="133">
        <v>1613491</v>
      </c>
      <c r="O271" s="133"/>
      <c r="P271" s="133"/>
    </row>
    <row r="272" spans="1:16" ht="68.25" customHeight="1">
      <c r="A272" s="122" t="s">
        <v>654</v>
      </c>
      <c r="B272" s="93">
        <f t="shared" si="24"/>
        <v>10000</v>
      </c>
      <c r="C272" s="188">
        <f t="shared" si="22"/>
        <v>0</v>
      </c>
      <c r="D272" s="188"/>
      <c r="E272" s="188"/>
      <c r="F272" s="188">
        <f t="shared" si="23"/>
        <v>0</v>
      </c>
      <c r="G272" s="133"/>
      <c r="H272" s="133"/>
      <c r="I272" s="133"/>
      <c r="J272" s="133"/>
      <c r="K272" s="133"/>
      <c r="L272" s="133"/>
      <c r="M272" s="90"/>
      <c r="N272" s="133">
        <v>10000</v>
      </c>
      <c r="O272" s="133"/>
      <c r="P272" s="133"/>
    </row>
    <row r="273" spans="1:16" ht="54" customHeight="1">
      <c r="A273" s="122" t="s">
        <v>668</v>
      </c>
      <c r="B273" s="93">
        <f t="shared" si="24"/>
        <v>51885</v>
      </c>
      <c r="C273" s="188"/>
      <c r="D273" s="188"/>
      <c r="E273" s="188"/>
      <c r="F273" s="188">
        <f t="shared" si="23"/>
        <v>0</v>
      </c>
      <c r="G273" s="133"/>
      <c r="H273" s="133"/>
      <c r="I273" s="133"/>
      <c r="J273" s="133"/>
      <c r="K273" s="133"/>
      <c r="L273" s="133"/>
      <c r="M273" s="90"/>
      <c r="N273" s="133">
        <v>51885</v>
      </c>
      <c r="O273" s="133"/>
      <c r="P273" s="133"/>
    </row>
    <row r="274" spans="1:16" ht="36.75" customHeight="1">
      <c r="A274" s="122" t="s">
        <v>740</v>
      </c>
      <c r="B274" s="93">
        <f t="shared" si="24"/>
        <v>15775</v>
      </c>
      <c r="C274" s="188"/>
      <c r="D274" s="188"/>
      <c r="E274" s="188"/>
      <c r="F274" s="188"/>
      <c r="G274" s="133"/>
      <c r="H274" s="133"/>
      <c r="I274" s="133"/>
      <c r="J274" s="133"/>
      <c r="K274" s="133"/>
      <c r="L274" s="133">
        <f>1400+1200+3175+10000</f>
        <v>15775</v>
      </c>
      <c r="M274" s="90"/>
      <c r="N274" s="133"/>
      <c r="O274" s="133"/>
      <c r="P274" s="133"/>
    </row>
    <row r="275" spans="1:16" ht="30" customHeight="1">
      <c r="A275" s="122" t="s">
        <v>744</v>
      </c>
      <c r="B275" s="93">
        <f t="shared" si="24"/>
        <v>50000</v>
      </c>
      <c r="C275" s="188"/>
      <c r="D275" s="188"/>
      <c r="E275" s="188"/>
      <c r="F275" s="188"/>
      <c r="G275" s="133"/>
      <c r="H275" s="133"/>
      <c r="I275" s="133"/>
      <c r="J275" s="133"/>
      <c r="K275" s="133"/>
      <c r="L275" s="133">
        <v>0</v>
      </c>
      <c r="M275" s="90"/>
      <c r="N275" s="133">
        <v>50000</v>
      </c>
      <c r="O275" s="133"/>
      <c r="P275" s="133"/>
    </row>
    <row r="276" spans="1:19" ht="26.45" customHeight="1">
      <c r="A276" s="110" t="s">
        <v>41</v>
      </c>
      <c r="B276" s="90">
        <f>SUM(B13:B275)</f>
        <v>38791444.780000001</v>
      </c>
      <c r="C276" s="204">
        <f t="shared" si="25" ref="C276:M276">SUM(C13:C274)</f>
        <v>22152890</v>
      </c>
      <c r="D276" s="204">
        <f t="shared" si="25"/>
        <v>17846681</v>
      </c>
      <c r="E276" s="204">
        <f t="shared" si="25"/>
        <v>4306209</v>
      </c>
      <c r="F276" s="204">
        <f t="shared" si="25"/>
        <v>8919847</v>
      </c>
      <c r="G276" s="204">
        <f t="shared" si="25"/>
        <v>121680</v>
      </c>
      <c r="H276" s="204">
        <f t="shared" si="25"/>
        <v>4515625</v>
      </c>
      <c r="I276" s="204">
        <f t="shared" si="25"/>
        <v>3818473</v>
      </c>
      <c r="J276" s="204">
        <f t="shared" si="25"/>
        <v>19010</v>
      </c>
      <c r="K276" s="204">
        <f t="shared" si="25"/>
        <v>445059</v>
      </c>
      <c r="L276" s="204">
        <f t="shared" si="25"/>
        <v>130554</v>
      </c>
      <c r="M276" s="204">
        <f t="shared" si="25"/>
        <v>786459</v>
      </c>
      <c r="N276" s="204">
        <f>SUM(N13:N275)</f>
        <v>4859567</v>
      </c>
      <c r="O276" s="204">
        <f>SUM(O13:O274)</f>
        <v>1838163</v>
      </c>
      <c r="P276" s="204">
        <f>SUM(P13:P274)</f>
        <v>103964.78</v>
      </c>
      <c r="Q276" s="62"/>
      <c r="R276" s="59"/>
      <c r="S276" s="59"/>
    </row>
    <row r="277" spans="1:16" ht="15" customHeight="1">
      <c r="A277" s="145"/>
      <c r="B277" s="108"/>
      <c r="C277" s="205"/>
      <c r="D277" s="205"/>
      <c r="E277" s="206"/>
      <c r="F277" s="206"/>
      <c r="G277" s="141"/>
      <c r="H277" s="141"/>
      <c r="I277" s="140"/>
      <c r="J277" s="140"/>
      <c r="K277" s="140"/>
      <c r="L277" s="140"/>
      <c r="M277" s="140"/>
      <c r="N277" s="140"/>
      <c r="O277" s="140"/>
      <c r="P277" s="140"/>
    </row>
    <row r="278" spans="1:16" ht="15" customHeight="1">
      <c r="A278" s="145"/>
      <c r="B278" s="92"/>
      <c r="C278" s="205"/>
      <c r="D278" s="205"/>
      <c r="E278" s="206"/>
      <c r="F278" s="206"/>
      <c r="G278" s="141"/>
      <c r="H278" s="141"/>
      <c r="I278" s="140"/>
      <c r="J278" s="140"/>
      <c r="K278" s="140"/>
      <c r="L278" s="140"/>
      <c r="N278" s="140"/>
      <c r="O278" s="140"/>
      <c r="P278" s="140"/>
    </row>
    <row r="279" spans="2:13" ht="15" customHeight="1">
      <c r="B279" s="84" t="s">
        <v>111</v>
      </c>
      <c r="D279" s="59"/>
      <c r="M279" s="84"/>
    </row>
    <row r="280" spans="1:16" ht="18.75">
      <c r="A280" s="84"/>
      <c r="B280" s="84"/>
      <c r="D280" s="59"/>
      <c r="E280" s="206"/>
      <c r="F280" s="206"/>
      <c r="G280" s="141"/>
      <c r="H280" s="141"/>
      <c r="I280" s="84"/>
      <c r="J280" s="84"/>
      <c r="K280" s="84"/>
      <c r="L280" s="84"/>
      <c r="M280" s="142"/>
      <c r="N280" s="84"/>
      <c r="O280" s="163"/>
      <c r="P280" s="84"/>
    </row>
    <row r="281" spans="3:16" ht="15">
      <c r="C281" s="59"/>
      <c r="D281" s="59"/>
      <c r="E281" s="206"/>
      <c r="F281" s="206"/>
      <c r="G281" s="141"/>
      <c r="H281" s="141"/>
      <c r="I281" s="142"/>
      <c r="J281" s="142"/>
      <c r="K281" s="142"/>
      <c r="L281" s="142"/>
      <c r="N281" s="142"/>
      <c r="O281" s="142"/>
      <c r="P281" s="142"/>
    </row>
    <row r="282" spans="5:16" ht="15">
      <c r="E282" s="206"/>
      <c r="F282" s="206"/>
      <c r="G282" s="141"/>
      <c r="H282" s="141"/>
      <c r="P282" s="142"/>
    </row>
    <row r="283" spans="5:8" ht="15">
      <c r="E283" s="206"/>
      <c r="F283" s="206"/>
      <c r="G283" s="141"/>
      <c r="H283" s="141"/>
    </row>
    <row r="284" spans="5:8" ht="15">
      <c r="E284" s="206"/>
      <c r="F284" s="206"/>
      <c r="G284" s="141"/>
      <c r="H284" s="141"/>
    </row>
    <row r="287" spans="7:12" ht="15">
      <c r="G287" s="142"/>
      <c r="H287" s="142"/>
      <c r="I287" s="142"/>
      <c r="J287" s="142"/>
      <c r="K287" s="142"/>
      <c r="L287" s="142"/>
    </row>
  </sheetData>
  <autoFilter ref="A10:P276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">
    <mergeCell ref="B1:E7"/>
    <mergeCell ref="F1:F7"/>
    <mergeCell ref="C9:F9"/>
    <mergeCell ref="A1:A9"/>
    <mergeCell ref="C10:P10"/>
    <mergeCell ref="A10:A12"/>
    <mergeCell ref="B10:B12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55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2025-01-28T06:51:34Z</cp:lastPrinted>
  <dcterms:created xsi:type="dcterms:W3CDTF">2014-01-31T18:56:56Z</dcterms:created>
  <dcterms:modified xsi:type="dcterms:W3CDTF">2025-01-31T11:20:21Z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