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svaris.lv/webdav/wordstorage/"/>
    </mc:Choice>
  </mc:AlternateContent>
  <bookViews>
    <workbookView xWindow="-120" yWindow="-120" windowWidth="24240" windowHeight="13020" activeTab="3"/>
  </bookViews>
  <sheets>
    <sheet name="1.pielikums" sheetId="4" r:id="rId3"/>
    <sheet name="2.pielikums" sheetId="3" r:id="rId4"/>
    <sheet name="3.pielikums" sheetId="2" r:id="rId5"/>
    <sheet name="4.pielikums" sheetId="1" r:id="rId6"/>
  </sheets>
  <definedNames>
    <definedName name="_xlnm._FilterDatabase" localSheetId="3" hidden="1">'4.pielikums'!$A$16:$P$351</definedName>
    <definedName name="_xlnm.Print_Area" localSheetId="3">'4.pielikums'!$A$6:$P$355</definedName>
  </definedNames>
  <calcPr calcId="191029"/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<sst xmlns="http://schemas.openxmlformats.org/spreadsheetml/2006/main" count="1340" uniqueCount="816">
  <si>
    <t>Iestādes</t>
  </si>
  <si>
    <t>Balvu novada administrācija</t>
  </si>
  <si>
    <t>Deputātu darba samaksa</t>
  </si>
  <si>
    <t>Izdevumi neparedzētiem gadījumiem</t>
  </si>
  <si>
    <t>Biedru maksa</t>
  </si>
  <si>
    <t>Dzimtsarakstu nodaļa</t>
  </si>
  <si>
    <t>Pašvaldības policija</t>
  </si>
  <si>
    <t>Būvvalde</t>
  </si>
  <si>
    <t>Pārējā ekonomiskā darbība (PVN)</t>
  </si>
  <si>
    <t>Ielu apgaismojums Balvu pilsētā</t>
  </si>
  <si>
    <t>Balvu pagasta komunālā saimniecība</t>
  </si>
  <si>
    <t>Bērzpils pagasta komunālā saimniecība</t>
  </si>
  <si>
    <t>Briežuciema pagasta komunālā saimniecība</t>
  </si>
  <si>
    <t>Krišjāņu pagasta komunālā saimniecība</t>
  </si>
  <si>
    <t>Kubulu pagasta komunālā saimniecība</t>
  </si>
  <si>
    <t>Lazdulejas pagasta komunālā saimniecība</t>
  </si>
  <si>
    <t>Tilžas pagasta komunālā saimniecība</t>
  </si>
  <si>
    <t>Vectilžas pagasta komunālā saimniecība</t>
  </si>
  <si>
    <t>Vīksnas pagasta komunālā saimniecība</t>
  </si>
  <si>
    <t>Pašvaldības aģentūra SAN-TEX</t>
  </si>
  <si>
    <t>Briežuciema FVP</t>
  </si>
  <si>
    <t>Balvu Centrālā bibliotēka</t>
  </si>
  <si>
    <t>KAC pasākumi</t>
  </si>
  <si>
    <t>Briežuciema Tautas nams</t>
  </si>
  <si>
    <t>Krišjāņu Tautas nams</t>
  </si>
  <si>
    <t>Kubulu kultūras nams</t>
  </si>
  <si>
    <t>Vīksnas Tautas nams</t>
  </si>
  <si>
    <t>Pārējie pasākumi, sabiedriskās attiecības</t>
  </si>
  <si>
    <t>PII Pīlādzītis</t>
  </si>
  <si>
    <t>PII Sienāzītis</t>
  </si>
  <si>
    <t>Bērzkalnes PII</t>
  </si>
  <si>
    <t>Stacijas pamatskola</t>
  </si>
  <si>
    <t>Balvu Valsts ģimnāzija</t>
  </si>
  <si>
    <t>Balvu mūzikas skola</t>
  </si>
  <si>
    <t>Balvu mākslas skola</t>
  </si>
  <si>
    <t>Balvu sporta skola</t>
  </si>
  <si>
    <t>Transporta izdevumu kompensācija skolēniem</t>
  </si>
  <si>
    <t>Pansionāts "Balvi"</t>
  </si>
  <si>
    <t>Bāriņtiesa</t>
  </si>
  <si>
    <t>Sociālo māju uzturēšana</t>
  </si>
  <si>
    <t>Asisitenta pakalpojumi personām ar invaliditāti</t>
  </si>
  <si>
    <t>KOPĀ</t>
  </si>
  <si>
    <t>Balvu sporta skolas Peldbaseins</t>
  </si>
  <si>
    <t>Balvu Profesionālā un vispārizglītojošā vidusskola</t>
  </si>
  <si>
    <t>Atskurbtuves uzturēšana</t>
  </si>
  <si>
    <t>Profesionālā sociālā darba attīstība pašvaldībās</t>
  </si>
  <si>
    <t>Latgales speciālās ekonomiskās zonas atbalsts</t>
  </si>
  <si>
    <t>Projekts "Karjeras atbalsts vispārējās un profesionālās izglītības iestādēs"</t>
  </si>
  <si>
    <t>Ziemeļlatgales biznesa un tūrisma centrs</t>
  </si>
  <si>
    <t>Sociālie pakalpojumi</t>
  </si>
  <si>
    <t>Programma "Latvijas skolas soma"</t>
  </si>
  <si>
    <t>Balvu pilsētas autoceļu (ielu) uzturēšana</t>
  </si>
  <si>
    <t>Balvu pagasta autoceļu (ielu) uzturēšana</t>
  </si>
  <si>
    <t>Bērzkalnes pagasta autoceļu (ielu) uzturēšana</t>
  </si>
  <si>
    <t>Bērzpils pagasta autoceļu (ielu) uzturēšana</t>
  </si>
  <si>
    <t>Briežuciema pagasta autoceļu (ielu) uzturēšana</t>
  </si>
  <si>
    <t>Krišjāņu pagasta autoceļu (ielu) uzturēšana</t>
  </si>
  <si>
    <t>Kubulu pagasta autoceļu (ielu) uzturēšana</t>
  </si>
  <si>
    <t>Lazdulejas pagasta autoceļu (ielu) uzturēšana</t>
  </si>
  <si>
    <t>Tilžas pagasta autoceļu (ielu) uzturēšana</t>
  </si>
  <si>
    <t>Vectilžas pagasta autoceļu (ielu) uzturēšana</t>
  </si>
  <si>
    <t>Vīksnas pagasta autoceļu (ielu) uzturēšana</t>
  </si>
  <si>
    <t>Vides piesārņojuma novēršana un samazināšana (dabas resursu nodoklis)</t>
  </si>
  <si>
    <t>Balvu Kultūras un atpūtas centrs</t>
  </si>
  <si>
    <t>Norēķini ar citām pašvaldībām par izglītības pakalpojumiem</t>
  </si>
  <si>
    <t>Balvu Novada muzejs</t>
  </si>
  <si>
    <t>Balvu sākumskola</t>
  </si>
  <si>
    <t>Daudzfunkcionālais sociālo pakalpojumu centrs</t>
  </si>
  <si>
    <t>Sociālā rakstura maksājumi un kompensācijas</t>
  </si>
  <si>
    <t>Transferti</t>
  </si>
  <si>
    <t>Preces un pakalpojumi</t>
  </si>
  <si>
    <t>Subsīdijas un dotācijas</t>
  </si>
  <si>
    <t>Procentu maksājumi</t>
  </si>
  <si>
    <t>Pamatkapitāla veidošana</t>
  </si>
  <si>
    <t>Izdevumi pa ekonomiskās klasifikācijas kodiem (EUR)</t>
  </si>
  <si>
    <t>Valsts un pašvaldības vienotais klientu apkalpošanas centrs</t>
  </si>
  <si>
    <t>Viļakas pilsētas komunālā saimniecība - apkure</t>
  </si>
  <si>
    <t>Šķilbēnu komunālā saimniecība</t>
  </si>
  <si>
    <t>Upītes FVP</t>
  </si>
  <si>
    <t>Rugāju sociālās aprūpes centrs</t>
  </si>
  <si>
    <t>Viļakas sociālās aprūpes centrs</t>
  </si>
  <si>
    <t>Šķilbēnu sociālās aprūpes māja</t>
  </si>
  <si>
    <t>Lazdukalna saieta nams</t>
  </si>
  <si>
    <t>Viļakas muzejs</t>
  </si>
  <si>
    <t>Algotie pagaidu sabiedriskie darbi</t>
  </si>
  <si>
    <t>Viļakas pilsētas komunālā saimniecība - atkritumu apsaimniekošana</t>
  </si>
  <si>
    <t>Medņevas komunālā saimniecība -notekūdeņu apsaimniekošana</t>
  </si>
  <si>
    <t>Upītes komunālā saimniecība -notekūdeņu apsaimniekošana</t>
  </si>
  <si>
    <t>Rekavas komunālā saimniecība -notekūdeņu apsaimniekošana</t>
  </si>
  <si>
    <t>Kupravas komunālā saimniecība -notekūdeņu apsaimniekošana</t>
  </si>
  <si>
    <t>Vecumu komunālā saimniecība -notekūdeņu apsaimniekošana</t>
  </si>
  <si>
    <t>Žīguru komunālā saimniecība -notekūdeņu apsaimniekošana</t>
  </si>
  <si>
    <t>Lazdukalna pagasta komunālā saimniecība</t>
  </si>
  <si>
    <t>Rugāju pagasta komunālā saimniecība</t>
  </si>
  <si>
    <t>Lazdukalna pagasta ūdensapgāde</t>
  </si>
  <si>
    <t>Rugāju pagasta ūdensapgāde</t>
  </si>
  <si>
    <t>Kupravas feldšeru punkts</t>
  </si>
  <si>
    <t>Baltinavas muzejs</t>
  </si>
  <si>
    <t>Baltinavas kultūras nams</t>
  </si>
  <si>
    <t>Žīguru kultūras nams</t>
  </si>
  <si>
    <t>Viļakas kultūras nams</t>
  </si>
  <si>
    <t>Nemateriālās kultūras mantojuma centrs "Upīte" - tautas nams</t>
  </si>
  <si>
    <t>Medņevas Tautas nams</t>
  </si>
  <si>
    <t>Šķilbēnu pagasta kultūras centrs "Rekova"</t>
  </si>
  <si>
    <t>Skolēnu pārvadāšana Šķilbēnu pārvalde</t>
  </si>
  <si>
    <t>Rekavas vidusskola</t>
  </si>
  <si>
    <t>Projekts "Atbalsts izglītojamo individuālo kompetenču attīstībai"</t>
  </si>
  <si>
    <t>Viļakas pirmsskolas izglītības iestāde "Namiņš"</t>
  </si>
  <si>
    <t>Eglaines pamatskola</t>
  </si>
  <si>
    <t>Izglītības pārvalde</t>
  </si>
  <si>
    <t>Baltinavas vidusskola</t>
  </si>
  <si>
    <t>Bērzpils pamatskola</t>
  </si>
  <si>
    <t>4.pielikums</t>
  </si>
  <si>
    <t>Rugāju vidusskola</t>
  </si>
  <si>
    <t>Ziemeļlatgales sporta centrs</t>
  </si>
  <si>
    <t>Izglītības pārvaldes pasākumi</t>
  </si>
  <si>
    <t>Kultūras pārvalde</t>
  </si>
  <si>
    <t>Kultūras pārvaldes pasākumi</t>
  </si>
  <si>
    <t>Bijušo pagastu padomju un pilsētu domju vadītāju pabalsti</t>
  </si>
  <si>
    <t>Svētku un atceres dienu pabalsti</t>
  </si>
  <si>
    <t>Balvu novada pašvaldības dzīvojamā fonda atjaunošana</t>
  </si>
  <si>
    <t>Pašvaldības aizņēmumu apkalpošana un procentu maksa</t>
  </si>
  <si>
    <t>Tehniskās dokumentācijas izstrāde</t>
  </si>
  <si>
    <t>Sociālā pārvalde</t>
  </si>
  <si>
    <t>Dienas sociālas aprūpes centrs Benislavā</t>
  </si>
  <si>
    <t>Dienas aprūpes centrs un grupu dzīvokļi (māja) Viļakā</t>
  </si>
  <si>
    <t>Zobārstniecības kabinets  (Rugāju pagastā)</t>
  </si>
  <si>
    <t>Novada teritorijas īpašuma vadība</t>
  </si>
  <si>
    <t xml:space="preserve">Biznesa ideju konkurss </t>
  </si>
  <si>
    <t>Rugāju tautas nams</t>
  </si>
  <si>
    <t>Skolēnu pārvadājumi Krišjāņu pagastā</t>
  </si>
  <si>
    <t>Novada teritorijas apsaimniekošana</t>
  </si>
  <si>
    <t>Skolēnu pārvadājumi Lazdulejas pagastā</t>
  </si>
  <si>
    <t>Skolēnu pārvadājumi Bērzkalnes pagastā</t>
  </si>
  <si>
    <t>Skolēnu pārvadājumi Bērzpils pagastā</t>
  </si>
  <si>
    <t>Rubeņu Tautas nams</t>
  </si>
  <si>
    <t>Vecumu pagasta komunālā saimniecība</t>
  </si>
  <si>
    <t>Lazdulejas Saieta nams</t>
  </si>
  <si>
    <t>Bērzpils Saieta nams</t>
  </si>
  <si>
    <t>Skolēnu pārvadājumi Vīksnas pagastā</t>
  </si>
  <si>
    <t>Skolēnu pārvadājumi Rugāju pagastā</t>
  </si>
  <si>
    <t>Baltinavas pagasta ūdensapgāde</t>
  </si>
  <si>
    <t>Balvu pagasta ūdensapgāde</t>
  </si>
  <si>
    <t>Naudaskalna Tautas nams</t>
  </si>
  <si>
    <t>Ziemeļlatgales sporta centra pasākumi</t>
  </si>
  <si>
    <t>Vectilžas Sporta un atpūtas centrs</t>
  </si>
  <si>
    <t>Skolēnu pārvadājumi Vectilžas pagastā</t>
  </si>
  <si>
    <t>Skolēnu pārvadājumi Baltinavas pagastā</t>
  </si>
  <si>
    <t>Skolēnu pārvadāšana Viļakā</t>
  </si>
  <si>
    <t>Komisiju darba samaksa</t>
  </si>
  <si>
    <t>Skolēnu pārvadājumi Kubulu pagastā</t>
  </si>
  <si>
    <t>Skolēnu pārvadājumi Tilžas pagastā</t>
  </si>
  <si>
    <t>Viļakas pilsētas komunālā saimniecība-notekūdenu apsaimniekošana</t>
  </si>
  <si>
    <t>Tilžas kultūras un vēstures nams</t>
  </si>
  <si>
    <t>Lazdukalna pagasta autoceļu (ielu) uzturēšana</t>
  </si>
  <si>
    <t>Medņevas pagasta autoceļu (ielu) uzturēšana</t>
  </si>
  <si>
    <t>Kupravas pagasta autoceļu (ielu) uzturēšana</t>
  </si>
  <si>
    <t>Rugāju pagasta autoceļu (ielu) uzturēšana</t>
  </si>
  <si>
    <t>Baltinavas pagasta autoceļu (ielu) uzturēšana</t>
  </si>
  <si>
    <t>Susāju pagasta autoceļu (ielu) uzturēšana</t>
  </si>
  <si>
    <t>Šķilbēnu pagasta autoceļu (ielu) uzturēšana</t>
  </si>
  <si>
    <t>Žīguru pagasta autoceļu (ielu) uzturēšana</t>
  </si>
  <si>
    <t>Viļakas pilsētas autoceļu (ielu) uzturēšana</t>
  </si>
  <si>
    <t>Vecumu pagasta autoceļu (ielu) uzturēšana</t>
  </si>
  <si>
    <t xml:space="preserve">Atbalsts priekšlaicīgas mācību pārtraukšanas samazināšanai </t>
  </si>
  <si>
    <t>Balvu pilsētas stadiona uzturēšana</t>
  </si>
  <si>
    <t>Politiski represēto apvienība Balvu nodaļa</t>
  </si>
  <si>
    <t>Balvu pensionāru biedrība</t>
  </si>
  <si>
    <t>Balvu Teritoriālā Invalīdu biedrība</t>
  </si>
  <si>
    <t>Tilžas pamatskola</t>
  </si>
  <si>
    <t>Tilžas pamatskolas pirmsskolas izglītības grupas Tilžā</t>
  </si>
  <si>
    <t>Balvu novada Bērnu un jauniešu centrs</t>
  </si>
  <si>
    <t>Sociālie pabalsti</t>
  </si>
  <si>
    <t>Mācību, darba un dienesta komandējumi, darba braucieni</t>
  </si>
  <si>
    <t>Pakalpojumi</t>
  </si>
  <si>
    <t>Krājumi, materiāli, energoresursi, preces, biroja preces un inventārs</t>
  </si>
  <si>
    <t xml:space="preserve">Budžeta iestāžu nodokļu, nodevu un sankciju maksājumi </t>
  </si>
  <si>
    <t>Krišjāņu komunālā saimniecība -notekūdeņu apsaimniekošana</t>
  </si>
  <si>
    <t>Kubulu komunālā saimniecība -notekūdeņu apsaimniekošana</t>
  </si>
  <si>
    <t>Bērzpils komunālā saimniecība -notekūdeņu apsaimniekošana</t>
  </si>
  <si>
    <t>Tilžas komunālā saimniecība -notekūdeņu apsaimniekošana</t>
  </si>
  <si>
    <t>Tilžas komunālā saimniecība - apkure</t>
  </si>
  <si>
    <t>Erasmus + projekts Play, Learn, Act, Ensure Sustainable Development Viļakas Valsts ģimnāzija</t>
  </si>
  <si>
    <t>3.pielikums</t>
  </si>
  <si>
    <t>Klasifikācijas kods</t>
  </si>
  <si>
    <t>Iestādes un pasākumi</t>
  </si>
  <si>
    <t>Finansēšanas avots</t>
  </si>
  <si>
    <t xml:space="preserve">Kopā </t>
  </si>
  <si>
    <t>Vispārējie ieņēmumi</t>
  </si>
  <si>
    <t xml:space="preserve">Budžeta iestāžu ieņēmumi </t>
  </si>
  <si>
    <t>Valsts un pašvaldību transferti</t>
  </si>
  <si>
    <t>Aizņēmumi</t>
  </si>
  <si>
    <t>01.000</t>
  </si>
  <si>
    <t>Vispārējie valdības dienesti</t>
  </si>
  <si>
    <t>03.000</t>
  </si>
  <si>
    <t>Sabiedriskā kārtība un drošība</t>
  </si>
  <si>
    <t>04.000</t>
  </si>
  <si>
    <t>Ekonomiskā darbība</t>
  </si>
  <si>
    <t>Balvu novada Būvvalde</t>
  </si>
  <si>
    <t>Ziemeļlatgales biznesa  un tūrisma centrs</t>
  </si>
  <si>
    <t>Biznesa ideju konkurss</t>
  </si>
  <si>
    <t>05.000</t>
  </si>
  <si>
    <t>Vides aizsardzība</t>
  </si>
  <si>
    <t>06.000</t>
  </si>
  <si>
    <t>Pašvaldības teritoriju un mājokļu apsaimniekošana</t>
  </si>
  <si>
    <t>Ielu apgaismojums</t>
  </si>
  <si>
    <t xml:space="preserve">Pārējā citur neklasificētā teritoriju un mājokļu apsaimniekošanas darbība </t>
  </si>
  <si>
    <t>Bērzkalnes pagasta komunālā saimniecība</t>
  </si>
  <si>
    <t>P/A "SAN-TEX"</t>
  </si>
  <si>
    <t>07.000</t>
  </si>
  <si>
    <t>Veselība</t>
  </si>
  <si>
    <t>Briežuciema feldšeru veselības punkts</t>
  </si>
  <si>
    <t>Krišjāņu feldšeru veselības punkts</t>
  </si>
  <si>
    <t>Kubulu feldšeru veselības punkts</t>
  </si>
  <si>
    <t>Lazdulejas feldšeru veselības punkts</t>
  </si>
  <si>
    <t>Skujetnieku feldšeru veselības punkts</t>
  </si>
  <si>
    <t>Vectilžas feldšeru veselības punkts</t>
  </si>
  <si>
    <t>Vīksnas feldšeru veselības punkts</t>
  </si>
  <si>
    <t>Zobārstniecības kabinets (Rugāji)</t>
  </si>
  <si>
    <t>08.000</t>
  </si>
  <si>
    <t>Atpūtas un sporta pasākumi</t>
  </si>
  <si>
    <t>Kultūra</t>
  </si>
  <si>
    <t>Bibliotēkas</t>
  </si>
  <si>
    <t>Muzeji</t>
  </si>
  <si>
    <t>Balvu novada muzejs</t>
  </si>
  <si>
    <t>Kultūras nami</t>
  </si>
  <si>
    <t>Briežuciema pagasta Tautas nams</t>
  </si>
  <si>
    <t>Lazdulejas saieta nams</t>
  </si>
  <si>
    <t>Nemateriālās kultūras mantojuma centrs "Upīte"</t>
  </si>
  <si>
    <t>Balvu kultūras un atpūtas centra pasākumi</t>
  </si>
  <si>
    <t>08.600</t>
  </si>
  <si>
    <t>Pārējā citur neklasificētā kultūra</t>
  </si>
  <si>
    <t>09.000</t>
  </si>
  <si>
    <t>Izglītība</t>
  </si>
  <si>
    <t>Pirmsskolas izglītība</t>
  </si>
  <si>
    <t>Pamatizglītība, vispārējā un profesionālā izglītība</t>
  </si>
  <si>
    <t>Pamatskola</t>
  </si>
  <si>
    <t>Eglaines pamatkola</t>
  </si>
  <si>
    <t>Vidusskolas</t>
  </si>
  <si>
    <t>Balvu profesionālā un vispāizglītojošā vidusskola</t>
  </si>
  <si>
    <t>Interešu un profesionālās ievirzes izglītība</t>
  </si>
  <si>
    <t>Peldbaseins</t>
  </si>
  <si>
    <t>Balvu Bērnu un jauniešu centrs</t>
  </si>
  <si>
    <t>Pārējā izglītības vadība</t>
  </si>
  <si>
    <t>Pārējie citur neklasificētie izglītības pakalpojumi</t>
  </si>
  <si>
    <t>10.000</t>
  </si>
  <si>
    <t>Sociālā aizsardzība</t>
  </si>
  <si>
    <t>Pārējais citur neklasificēts atbalsts sociāli atstumtām personām</t>
  </si>
  <si>
    <t>Dotācijas biedrībām aktivitāšu atbalstam</t>
  </si>
  <si>
    <t>Asistenta pakalpojumi personām ar invaliditāti</t>
  </si>
  <si>
    <t>Rugāju komunālā saimniecība - notekūdeņu apsaimniekošana</t>
  </si>
  <si>
    <t>Baltinavas komunālā saimniecība - notekūdeņu apsaimniekošana</t>
  </si>
  <si>
    <t>Lazdukalna komunālā saimniecība - notekūdeņu apsaimniekošana</t>
  </si>
  <si>
    <t>Kupravas pagasta komunālā saimniecība</t>
  </si>
  <si>
    <t>Medņevas pagasta komunālā saimniecība</t>
  </si>
  <si>
    <t>Šķilbēnu pagasta komunālā saimniecība</t>
  </si>
  <si>
    <t>Rekavas komunālā saimniecība - apkure</t>
  </si>
  <si>
    <t>2.pielikums</t>
  </si>
  <si>
    <t>Ieņēmumi</t>
  </si>
  <si>
    <t>Ieņēmumu veidi</t>
  </si>
  <si>
    <t>I</t>
  </si>
  <si>
    <t>IEŅĒMUMI KOPĀ</t>
  </si>
  <si>
    <t>Nodokļu ieņēmumi</t>
  </si>
  <si>
    <t>1.0.0.0.</t>
  </si>
  <si>
    <t>IENĀKUMA NODOKĻI</t>
  </si>
  <si>
    <t>1.1.1.0</t>
  </si>
  <si>
    <t>Iedzīvotāju ienākuma nodoklis</t>
  </si>
  <si>
    <t>1.1.1.2</t>
  </si>
  <si>
    <t>4.0.0.0.</t>
  </si>
  <si>
    <t>ĪPAŠUMA NODOKĻI</t>
  </si>
  <si>
    <t>4.1.0.0</t>
  </si>
  <si>
    <t>Nekustamā īpašuma nodoklis</t>
  </si>
  <si>
    <t>4.1.1.0</t>
  </si>
  <si>
    <t>Nekustamā īpašuma nodoklis par zemi</t>
  </si>
  <si>
    <t>4.1.1.1</t>
  </si>
  <si>
    <t>Nekustamā īpašuma nodokļa par zemi kārtējā saimnieciskā gada ieņēmumi</t>
  </si>
  <si>
    <t>4.1.1.2</t>
  </si>
  <si>
    <t>Nekustamā īpašuma nodoklis par zemi-iepriekšējo gadu parādi</t>
  </si>
  <si>
    <t>4.1.2.0</t>
  </si>
  <si>
    <t>Nekustamā īpašuma nodokļi par ēkām</t>
  </si>
  <si>
    <t>4.1.2.1</t>
  </si>
  <si>
    <t>Nekustamā īpašuma nodoklis par ēkām kārtējā  gada maksājumi</t>
  </si>
  <si>
    <t>t.sk. par inženierbūvēm</t>
  </si>
  <si>
    <t>4.1.2.2</t>
  </si>
  <si>
    <t>Nekustamā īpašuma nodoklis par ēkām-iepriekšējo gadu parādi</t>
  </si>
  <si>
    <t>4.1.3.0</t>
  </si>
  <si>
    <t>Nekustamā īpašuma nodokļi par mājokļiem</t>
  </si>
  <si>
    <t>4.1.3.1.</t>
  </si>
  <si>
    <t>Nekustamā īpašuma nodokļa par mājokļiem kārtējā saimnieciskā gada ieņēmumi</t>
  </si>
  <si>
    <t>4.1.3.2.</t>
  </si>
  <si>
    <t>Nekustamā īpašuma naodoklis par mājokļiem-iepriekšējo gadu parādi</t>
  </si>
  <si>
    <t>5.0.0.0.</t>
  </si>
  <si>
    <t xml:space="preserve">NODOKĻI PAR PAKALPOJUMIEM UN PRECĒM </t>
  </si>
  <si>
    <t>5.4.0.0.</t>
  </si>
  <si>
    <t>Nodokļi par atsevišķām precēm un pakalpojumu veidiem</t>
  </si>
  <si>
    <t>5.4.1.0</t>
  </si>
  <si>
    <t>Azartspēļu nodoklis</t>
  </si>
  <si>
    <t>5.5.0.0.</t>
  </si>
  <si>
    <t>Nodokļi un maksājumi par tiesībām lietot atsevišķas preces</t>
  </si>
  <si>
    <t>5.5.3.0.</t>
  </si>
  <si>
    <t>Dabas resursu nodoklis</t>
  </si>
  <si>
    <t>Nenodokļu ieņēmumi</t>
  </si>
  <si>
    <t>8.0.0.0.</t>
  </si>
  <si>
    <t>Ieņēmumi no uzņēmējdarbības un īpašuma</t>
  </si>
  <si>
    <t>8.6.0.0.</t>
  </si>
  <si>
    <t>Procentu ieņēmumi par depozītiem, kontu atlikumiem, valsts parāda vērtspapīriem un atlikto maksājumu</t>
  </si>
  <si>
    <t>9.0.0.0.</t>
  </si>
  <si>
    <t>VALSTS (PAŠVALDĪBU) NODEVAS UN KANCELEJAS NODEVAS</t>
  </si>
  <si>
    <t>9.4.0.0.</t>
  </si>
  <si>
    <t>Valsts nodevas, kuras ieskaita valsts budžetā</t>
  </si>
  <si>
    <t>9.4.2.0.</t>
  </si>
  <si>
    <t>Valsts nodeva par apliecinājumiem un citu funkciju pildīšanu bāriņtiesās</t>
  </si>
  <si>
    <t>9.4.5.0.</t>
  </si>
  <si>
    <t>Valsts nodeva par civilstāvokļa aktu reģistrēšanu, grozīšanu un papildināšanu</t>
  </si>
  <si>
    <t>9.4.9.0.</t>
  </si>
  <si>
    <t>Pārējās valsts nodevas, kuras ieskaita pašvaldību budžetos</t>
  </si>
  <si>
    <t>9.4.9.1.</t>
  </si>
  <si>
    <t>Nodeva par dzīves vietas deklarēšanu</t>
  </si>
  <si>
    <t>9.5.0.0.</t>
  </si>
  <si>
    <t>Pašvaldības nodevas</t>
  </si>
  <si>
    <t>9.5.1.2.</t>
  </si>
  <si>
    <t>Pašvaldības nodeva par izklaidējoša rakstura pasākumu sarīkošanu publiskās vietās</t>
  </si>
  <si>
    <t>9.5.1.4.</t>
  </si>
  <si>
    <t>Pašvaldības nodeva par tirdzniecību publiskās vietās</t>
  </si>
  <si>
    <t>9.5.1.7.</t>
  </si>
  <si>
    <t>Pašvaldības nodeva par reklāmas,afišu un sludinājumu izvietošanu publiskajās vietās</t>
  </si>
  <si>
    <t>9.5.2.1.</t>
  </si>
  <si>
    <t>Pašvaldības nodeva par būvatļaujas saņemšanu</t>
  </si>
  <si>
    <t>9.5.2.9.</t>
  </si>
  <si>
    <t>Pārējās nodevas, ko uzliek pašvaldības</t>
  </si>
  <si>
    <t>10.0.0.0.</t>
  </si>
  <si>
    <t>NAUDAS SODI UN SANKCIJAS</t>
  </si>
  <si>
    <t>10.1.4.0.</t>
  </si>
  <si>
    <t xml:space="preserve">Naudas sodi, ko uzliek pašvaldības </t>
  </si>
  <si>
    <t>10.1.4.1.</t>
  </si>
  <si>
    <t>Naudas sodi, ko uzliek pašvaldības administratīvo pārkāpumu komisija</t>
  </si>
  <si>
    <t>10.1.5.0.</t>
  </si>
  <si>
    <t>Naudas sodi, ko uzliek pašvaldību institūcijas  par pārkāpumiem ceļu satiksmē</t>
  </si>
  <si>
    <t>12.0.0.0.</t>
  </si>
  <si>
    <t>PĀRĒJIE NENODOKĻU IEŅĒMUMI</t>
  </si>
  <si>
    <t>12.3.9.9.</t>
  </si>
  <si>
    <t>Pārējie dažādi nenodokļu ieņēmumi, kas nav iepriekš klasificēti šajā klasifikācijā</t>
  </si>
  <si>
    <t>12.3.9.9.4</t>
  </si>
  <si>
    <t>Pārējie ieņēmumi</t>
  </si>
  <si>
    <t>Ziemeļlatgales sporta centrs (pasākumi)</t>
  </si>
  <si>
    <t>Latvijas darba devēju konfederācijas finansējums Balvu Profesionālajai un vispārizglītojošai vidusskolai</t>
  </si>
  <si>
    <t>13.0.0.0.</t>
  </si>
  <si>
    <t>IEŅĒMUMI NO VALSTS (PAŠVALDĪBAS) ĪPAŠUMA IZNOMĀŠANAS  PĀRDOŠANAS</t>
  </si>
  <si>
    <t>13.1.0.0.</t>
  </si>
  <si>
    <t>Ieņēmumi no ēku un būvju īpašuma pārdošanas</t>
  </si>
  <si>
    <t>13.2.0.0.</t>
  </si>
  <si>
    <t>Ieņēmumi no zemes, mežu īpašuma pārdošanas</t>
  </si>
  <si>
    <t>13.2.1.0.</t>
  </si>
  <si>
    <t>Ieņēmumi no zemes īpašuma pārdošanas</t>
  </si>
  <si>
    <t>13.2.2.0.</t>
  </si>
  <si>
    <t>Ieņēmumi no mežu īpašumu pārdošanas</t>
  </si>
  <si>
    <t>17.0.0.0.</t>
  </si>
  <si>
    <t>NO VALSTS BUDŽETA DAĻĒJI FINANSĒTO PUBLISKO PERSONU UN BUDŽETA NEFINANSĒTO IESTĀŽU TRANSFERTI</t>
  </si>
  <si>
    <t>Dienas aprūpes centrs un grupu dzīvokļi Viļaka</t>
  </si>
  <si>
    <t>18.0.0.0.</t>
  </si>
  <si>
    <t>VALSTS BUDŽETA TRANSFERTI</t>
  </si>
  <si>
    <t>18.6.2.0.</t>
  </si>
  <si>
    <t>Pašvaldības saņemtie valsts budžeta transferti noteiktam mērķim</t>
  </si>
  <si>
    <t>Mērķdotācijas pašvaldību pamata un vispārējās izglītības iestāžu pedagogu darba samaksai un valsts sociālās apdrošināšanas obligātajām iemaksām</t>
  </si>
  <si>
    <t>Mērķdotācijas pašvaldību profesionālās pamatizglītības, arodizglītības un profesionālās vidējās izglītības programmu pedagogu darba samaksai un valsts sociālās apdrošināšanas obligātajām iemaksām</t>
  </si>
  <si>
    <t>Mērķdotācija interešu izglītības programmu pedagogu daļējai darba samaksai un valsts sociālās apdrošināšanas obligātajām iemaksām</t>
  </si>
  <si>
    <t>Mērķdotācijas pašvaldības izglītības iestāžu piecgadīgo un sešgadīgo bērnu apmācības pedagogu darba samaksai un valsts soc.apdroš.obligātajām iemaksām</t>
  </si>
  <si>
    <t>Mērķdotācija audžuģimenēm par bērna uzturnaudas palielināšanu</t>
  </si>
  <si>
    <t>Valsts dotācija autoceļu (ielu) uzturēšanai</t>
  </si>
  <si>
    <t>Valsts dotācija sporta skolai</t>
  </si>
  <si>
    <t>Valsts dotācija mūzikas un mākslas skolām</t>
  </si>
  <si>
    <t>Valsts dotācija 1.-4.klašu brīvpusdienu daļējai apmaksai</t>
  </si>
  <si>
    <t>MD māksliniecisko kolektīvu vadītāju darba samaksai un valsts sociālās apdrošināšanas obligātajām iemaksām</t>
  </si>
  <si>
    <t>Lazdukalna Saieta nams</t>
  </si>
  <si>
    <t>Vectilžas sporta un atpūtas centrs</t>
  </si>
  <si>
    <t>Valsts un pašvaldības vienotā klientu apkalpošanas centra uzturēšana</t>
  </si>
  <si>
    <t>Latvijas Skolas soma</t>
  </si>
  <si>
    <t>Skujetnieku feldšeru punkts</t>
  </si>
  <si>
    <t>LM finansējums asistenta pakalpojumiem personām ar invaliditāti</t>
  </si>
  <si>
    <t>Valsts dotācija mājokļa pabalstam</t>
  </si>
  <si>
    <t>18.6.3.0.</t>
  </si>
  <si>
    <t>Pašvaldību no valsts budžeta iestādēm saņemtie transferti ES politiku instrumentu un pārējās ārvalstu finanšu palīdzības līdzfinansētajiem projektiem (pasākumiem)</t>
  </si>
  <si>
    <t>18.6.4.0.</t>
  </si>
  <si>
    <t>Pašvaldību budžetā saņemta dotācijas no pašvaldības finanšu izlīdzināšanas fonda</t>
  </si>
  <si>
    <t>Sociālās aprūpes centrs "Rugāji"</t>
  </si>
  <si>
    <t>Maksas pakalpojumi un citi pašu ieņēmumi</t>
  </si>
  <si>
    <t>21.3.0.0.</t>
  </si>
  <si>
    <t>Ieņēmumi no budžeta iestāžu sniegtajiem maksas pakalpojumiem un citi pašu ieņēmumi</t>
  </si>
  <si>
    <t>21.3.5.0.</t>
  </si>
  <si>
    <t>Maksa par izglītības pakalpojumiem</t>
  </si>
  <si>
    <t>21.3.5.1.</t>
  </si>
  <si>
    <t>Mācību maksa</t>
  </si>
  <si>
    <t>Balvu Mākslas skola</t>
  </si>
  <si>
    <t>Balvu Mūzikas skola</t>
  </si>
  <si>
    <t>21.3.5.2.</t>
  </si>
  <si>
    <t>Ieņēmumi no vecāku maksām</t>
  </si>
  <si>
    <t>Viļakas PII "Namiņš"</t>
  </si>
  <si>
    <t>Baltinavas vidusskolas pirmsskolas izglītības grupas</t>
  </si>
  <si>
    <t>21.3.7.0.</t>
  </si>
  <si>
    <t>Ieņēmumi par dokumentu izsniegšanu un kancelejas pakalpojumiem</t>
  </si>
  <si>
    <t>21.3.7.9.</t>
  </si>
  <si>
    <t>Ieņēmumi par pārējo dokumentu izsniegšanu un pārējiem kancelejas pakalpojumiem</t>
  </si>
  <si>
    <t>21.3.8.0.</t>
  </si>
  <si>
    <t>Ieņēmumi par nomu un īri</t>
  </si>
  <si>
    <t>21.3.8.1.</t>
  </si>
  <si>
    <t>Ieņēmumi par telpu nomu (novads)</t>
  </si>
  <si>
    <t>Valsts un pašvaldības vienotā klientu apkalpošanas centrs</t>
  </si>
  <si>
    <t>Vīksnas pagasta Tautas nams</t>
  </si>
  <si>
    <t>21.3.8.3.</t>
  </si>
  <si>
    <t>Ieņēmumi no kustamā īpašuma iznomāšanas</t>
  </si>
  <si>
    <t>21.3.8.4.</t>
  </si>
  <si>
    <t>Ieņēmumi par zemes nomu</t>
  </si>
  <si>
    <t>21.3.8.9.</t>
  </si>
  <si>
    <t>Pārējie ieņēmumi par nomu un īri</t>
  </si>
  <si>
    <t>21.3.9.0.</t>
  </si>
  <si>
    <t>Ieņēmumi par pārējiem budžeta iestāžu sniegtajiem maksas pakalpojumiem</t>
  </si>
  <si>
    <t>21.3.9.1.</t>
  </si>
  <si>
    <t>Maksa par personu uzturēšanos sociālās aprūpes iestādēs</t>
  </si>
  <si>
    <t>21.3.9.2.</t>
  </si>
  <si>
    <t>Ieņēmumi no pacientu iemaksām un sniegtajiem rehabilitācijas un ārstniecības pakalpojumiem</t>
  </si>
  <si>
    <t>Kubulu FVP</t>
  </si>
  <si>
    <t>Krišjāņu FVP</t>
  </si>
  <si>
    <t>Lazdulejas FVP</t>
  </si>
  <si>
    <t>Vectilžas FVP</t>
  </si>
  <si>
    <t>Vīksnas FVP</t>
  </si>
  <si>
    <t>21.3.9.3.</t>
  </si>
  <si>
    <t>Ieņēmumi par biļešu realizāciju</t>
  </si>
  <si>
    <t>Bērzpils pagasta Saieta nams</t>
  </si>
  <si>
    <t>Kubulu Kultūras nams</t>
  </si>
  <si>
    <t>Rugāju Tautas nams</t>
  </si>
  <si>
    <t>Nemateiālās kultūras mantojuma centrs "Upīte"</t>
  </si>
  <si>
    <t>21.3.9.4.</t>
  </si>
  <si>
    <t>Ieņēmumi par dzīvokļu un komunālajiem pakalpojumiem</t>
  </si>
  <si>
    <t>Balvu novada pašvaldība</t>
  </si>
  <si>
    <t>P/A SAN-TEX</t>
  </si>
  <si>
    <t>21.3.9.4.2.</t>
  </si>
  <si>
    <t>Ieņēmumi par komunālājiem pakalpojumiem</t>
  </si>
  <si>
    <t>Kupravas pagasta komunālā saimniecība-apkure</t>
  </si>
  <si>
    <t>`</t>
  </si>
  <si>
    <t>Krišjāņu pagasta komunālā saimniecība-apkure</t>
  </si>
  <si>
    <t>Vecumu komunālā saimniecība-apkure</t>
  </si>
  <si>
    <t>Viļakas pilsētas komunālā saimniecība-apkure</t>
  </si>
  <si>
    <t>Žīguru pagasta komunālā saimniecība-apkure</t>
  </si>
  <si>
    <t>Baltinavas pagasta komunālā saimniecība-notekūdeņu apsaimniekošana</t>
  </si>
  <si>
    <t>Rekavas komunālā saimniecība - notekūdeņu apsaimniekošana</t>
  </si>
  <si>
    <t>Tilžas komunālā saimniecība - notekūdeņu apsaimniekošana</t>
  </si>
  <si>
    <t>Upītes komunālā saimniecība - notekūdeņu apsaimniekošana</t>
  </si>
  <si>
    <t>Vecumu komunālā saimniecība-notekūdeņu apsaimniekošana</t>
  </si>
  <si>
    <t>21.3.9.4.3.</t>
  </si>
  <si>
    <t>Apsaimniekošanas maksa</t>
  </si>
  <si>
    <t xml:space="preserve">21.3.9.9. </t>
  </si>
  <si>
    <t>Citi ieņēmumi par maksas pakalpojumiem</t>
  </si>
  <si>
    <t>21.3.9.9.1.</t>
  </si>
  <si>
    <t>Ieņēmumi par skolēnu ēdināšanu</t>
  </si>
  <si>
    <t>21.3.9.9.2.</t>
  </si>
  <si>
    <t>Peldbaseina ieņēmumi</t>
  </si>
  <si>
    <t>21.3.9.9.4.</t>
  </si>
  <si>
    <t>Maksas pakalpojumi</t>
  </si>
  <si>
    <t>Pašvaldības policija (atskurbtuve)</t>
  </si>
  <si>
    <t>21.3.9.9.7.</t>
  </si>
  <si>
    <t>Ieņēmumi no darbinieku ēdināšanas</t>
  </si>
  <si>
    <t xml:space="preserve">Bērzkalnes PII </t>
  </si>
  <si>
    <t>21.4.0.0.</t>
  </si>
  <si>
    <t>Pārējie 2.3.0.0.0.grupā neklasificētie budžeta iestāžu ieņēmumi par budžeta iestāžu sniegtajiem maksas pakalpojumiem un citi pašu ieņēmumi</t>
  </si>
  <si>
    <t>21.4.2.9.</t>
  </si>
  <si>
    <t>Pārējie iepriekš neklasificētie īpašiem mērķiem noteiktie ieņēmumi</t>
  </si>
  <si>
    <t>1.pielikums</t>
  </si>
  <si>
    <t>Rādītāju nosaukumi</t>
  </si>
  <si>
    <t>Budžeta kategoriju kodi</t>
  </si>
  <si>
    <t>I IEŅĒMUMI - kopā</t>
  </si>
  <si>
    <t xml:space="preserve">  Ieņēmumi no iedzīvotāju ienākuma nodokļa</t>
  </si>
  <si>
    <t xml:space="preserve">  1.1.0.0.</t>
  </si>
  <si>
    <t xml:space="preserve">  Nekustamā īpašuma nodoklis</t>
  </si>
  <si>
    <t xml:space="preserve">  4.1.0.0.</t>
  </si>
  <si>
    <t>NODOKĻI PAR PAKALPOJUMIEM UN PRECĒM</t>
  </si>
  <si>
    <t xml:space="preserve">  Nodokļi un maksājumi par tiesībām lietot atsevišķas preces</t>
  </si>
  <si>
    <t xml:space="preserve">  5.5.0.0.</t>
  </si>
  <si>
    <t>IEŅĒMUMI NO UZŅĒMĒJDARBĪBAS UN ĪPAŠUMA</t>
  </si>
  <si>
    <t xml:space="preserve">  Valsts nodevas, kuras ieskaita pašvaldību budžetā</t>
  </si>
  <si>
    <t xml:space="preserve">  9.4.0.0.</t>
  </si>
  <si>
    <t xml:space="preserve">  Pašvaldību nodevas</t>
  </si>
  <si>
    <t xml:space="preserve">  9.5.0.0.</t>
  </si>
  <si>
    <t xml:space="preserve">  Naudas sodi</t>
  </si>
  <si>
    <t xml:space="preserve">  10.1.0.0.</t>
  </si>
  <si>
    <t xml:space="preserve">  Citi dažādi nenodokļu ieņēmumi</t>
  </si>
  <si>
    <t>12.3.0.0.</t>
  </si>
  <si>
    <t>Ieņēmumi no valsts (pašvaldību) īpašuma iznomāšanas, pārdošanas un no nodokļu pamatparāda kapitalizācijas</t>
  </si>
  <si>
    <t xml:space="preserve">  Ieņēmumi no ēku un būvju īpašuma pārdošanas</t>
  </si>
  <si>
    <t xml:space="preserve">  13.1.0.0.</t>
  </si>
  <si>
    <t xml:space="preserve">  Ieņēmumi no zemes, meža īpašuma pārdošanas</t>
  </si>
  <si>
    <t xml:space="preserve">  13.2.0.0.</t>
  </si>
  <si>
    <t>No valsts budžeta daļēji finansēto atvasināto publisko personu un budžeta nefinansēto iestāžu transferti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</si>
  <si>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</si>
  <si>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</si>
  <si>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>Valsts budžeta transferti</t>
  </si>
  <si>
    <t xml:space="preserve">  Pašvaldību saņemtie transferti no valsts budžeta</t>
  </si>
  <si>
    <t xml:space="preserve">  18.6.0.0.</t>
  </si>
  <si>
    <t>Budžeta iestāžu ieņēmumi</t>
  </si>
  <si>
    <t>21.0.0.0.</t>
  </si>
  <si>
    <t xml:space="preserve">  Ieņēmumi no budžeta iestāžu sniegtajiem maksas pakalpojumiem un citi pašu ieņēmumi</t>
  </si>
  <si>
    <t xml:space="preserve">  21.3.0.0.</t>
  </si>
  <si>
    <t xml:space="preserve">  Pārējie 21.3.0.0.grupā neklasificētie budžeta iestāžu ieņēmumi par budžeta iestāžu sniegtajiem maksas pakalpojumiem un citi pašu ieņēmumi</t>
  </si>
  <si>
    <t xml:space="preserve">  21.4.0.0.</t>
  </si>
  <si>
    <t>II IZDEVUMI - kopā</t>
  </si>
  <si>
    <t/>
  </si>
  <si>
    <t>Izdevumi atbilstoši funkcionālajām kategorijām</t>
  </si>
  <si>
    <t>Teritoriju un mājokļu apsaimniekošana</t>
  </si>
  <si>
    <t>Atpūta, kultūra un reliģija</t>
  </si>
  <si>
    <t>Izdevumi atbilstoši ekonomiskajām kategorijām</t>
  </si>
  <si>
    <t>Atlīdzība</t>
  </si>
  <si>
    <t>1000</t>
  </si>
  <si>
    <t>2000</t>
  </si>
  <si>
    <t>3000</t>
  </si>
  <si>
    <t>Procentu izdevumi</t>
  </si>
  <si>
    <t>4000</t>
  </si>
  <si>
    <t>5000</t>
  </si>
  <si>
    <t>6000</t>
  </si>
  <si>
    <t>Transferti, uzturēšanas izdevumu transferti, pašu resursu maksājumi, starptautiskā sadarbība</t>
  </si>
  <si>
    <t>7000</t>
  </si>
  <si>
    <t>III Ieņēmumu pārsniegums (+) deficīts (-) (I-II)</t>
  </si>
  <si>
    <t>IV FINANSĒŠANA - kopā</t>
  </si>
  <si>
    <t>Naudas līdzekļi un noguldījumi</t>
  </si>
  <si>
    <t>F20010000</t>
  </si>
  <si>
    <t xml:space="preserve">  Naudas līdzekļi</t>
  </si>
  <si>
    <t xml:space="preserve">  F21010000</t>
  </si>
  <si>
    <t xml:space="preserve">  Pieprasījuma noguldījumi</t>
  </si>
  <si>
    <t xml:space="preserve">  F22010000</t>
  </si>
  <si>
    <t xml:space="preserve">    Pieprasījuma noguldījumu atlikums gada sākumā</t>
  </si>
  <si>
    <t xml:space="preserve">    F22010000 AS</t>
  </si>
  <si>
    <t xml:space="preserve">    Pieprasījuma noguldījumu atlikums perioda beigās</t>
  </si>
  <si>
    <t>F40020000</t>
  </si>
  <si>
    <t xml:space="preserve">  Saņemtie aizņēmumi</t>
  </si>
  <si>
    <t xml:space="preserve">  Saņemto aizņēmumu atmaksa</t>
  </si>
  <si>
    <t xml:space="preserve">  F40020020</t>
  </si>
  <si>
    <t>Valsts dotācija sociālās aprūpes centru iemītniekiem</t>
  </si>
  <si>
    <t>F40020010</t>
  </si>
  <si>
    <t>Atlikums             uz gada sākumu</t>
  </si>
  <si>
    <t>Izglītības  pārvalde - vasaras nometnes</t>
  </si>
  <si>
    <t>Valsts dotācija Ukrainas civiliedzīvotāju izmitināšanas iespējām</t>
  </si>
  <si>
    <t>Ukrainas civiliedzīvotāju izmitināšanas iespējām</t>
  </si>
  <si>
    <t>Kubulu PII Ieviņa</t>
  </si>
  <si>
    <t>Atbalsts Ukrainas civiliedzīvotājiem un izmitināšanas iespējām</t>
  </si>
  <si>
    <t>Ieņēmumi par nedzīvojamā nekustamā īpašuma nomu</t>
  </si>
  <si>
    <t>PAŠVALDĪBU BUDŽETU TRANSFERTI</t>
  </si>
  <si>
    <t>19.0.0.0.</t>
  </si>
  <si>
    <t>19.2.0.0.01.</t>
  </si>
  <si>
    <t>Ieņēmumi izglītības funkciju nodoršināšanai</t>
  </si>
  <si>
    <t>Pašvaldību budžetu transferti</t>
  </si>
  <si>
    <t>19.0.0.0</t>
  </si>
  <si>
    <t>Pašvaldību saņemtie transferti no citām pašvaldībām</t>
  </si>
  <si>
    <t>19.2.0.0.</t>
  </si>
  <si>
    <t>Balvu sporta skola trenažieru zāles izmantošanu</t>
  </si>
  <si>
    <t>Tilžas pamatskolas Tilžas pirmsskolas grupa</t>
  </si>
  <si>
    <t>Balvu sporta skola pilsētas stadiona maksas pakalpojumu ieņēmumi</t>
  </si>
  <si>
    <t>Rekavas vidusskola pirmsskolas grupas</t>
  </si>
  <si>
    <t>Bērzkalnes komunālā saimniecība - notekūdeņu apsaimniekošana</t>
  </si>
  <si>
    <t>Briežuciema komunālā saimniecība - notekūdeņu apsaimniekošana</t>
  </si>
  <si>
    <t>Lazdulejas komunālā saimniecība - notekūdeņu apsaimniekošana</t>
  </si>
  <si>
    <t>Vīksnas komunālā saimniecība-notekūdenu apsaimniekošana</t>
  </si>
  <si>
    <t>Briežuciema komunālā saimniecība -notekūdeņu apsaimniekošana</t>
  </si>
  <si>
    <t>Vīksnas komunālā saimniecība -notekūdeņu apsaimniekošana</t>
  </si>
  <si>
    <t>Bērzkalnes komunālā saimniecība -notekūdeņu apsaimniekošana</t>
  </si>
  <si>
    <t>Tilžas pamatskolas Tilžas pirmsskolas grupas</t>
  </si>
  <si>
    <t>Autoceļu (ielu) uzturēšanas līdzekļu rezerves fonds</t>
  </si>
  <si>
    <t>Izdevumi periodikas iegādei bibliotēku krājumiem</t>
  </si>
  <si>
    <t>Atalgojums</t>
  </si>
  <si>
    <t>DDVSAOI</t>
  </si>
  <si>
    <t>Viļakas vidusskola</t>
  </si>
  <si>
    <t>Tehniskā aprīkojuma iegāde virssemes ūdeņu kvalitātes uzlabošanai</t>
  </si>
  <si>
    <t>Pašvaldības līdzdalības budžets</t>
  </si>
  <si>
    <t>Tehniskā aprīkojuma iegāde virszemes ūdeņu kvalitātes uzlabošanai</t>
  </si>
  <si>
    <t>Eglaines pamatskolas pirmsskolas grupas</t>
  </si>
  <si>
    <t>Rugāju vidusskolas pirmsskolas grupas</t>
  </si>
  <si>
    <t>Lazdulejas komunālā saimniecība.</t>
  </si>
  <si>
    <t>Lazdukalna pagasta apgaismojuma un autoceļu (ielu) uzturēšana</t>
  </si>
  <si>
    <t>Rubeņu tautas nams</t>
  </si>
  <si>
    <t>Viļakas  vidusskolas pirmsskolas grupa</t>
  </si>
  <si>
    <t xml:space="preserve">Pansionāts "Balvi" </t>
  </si>
  <si>
    <t xml:space="preserve">Tilžas pagasta komunālā saimniecība </t>
  </si>
  <si>
    <t>Projekts "Militārais mantojums II"</t>
  </si>
  <si>
    <t xml:space="preserve">Balvu Profesionālā un vispārizglītojošā vidusskola </t>
  </si>
  <si>
    <t xml:space="preserve">Vīksnas pagasta komunālā saimniecība </t>
  </si>
  <si>
    <t xml:space="preserve">Sporta skolas peldbaseins </t>
  </si>
  <si>
    <t xml:space="preserve">Balvu sākumskola </t>
  </si>
  <si>
    <t xml:space="preserve">Rekavas vidusskola </t>
  </si>
  <si>
    <t>Briežuciema komunālā saimniecība</t>
  </si>
  <si>
    <t xml:space="preserve">Balvu Kultūras un atpūtas centrs </t>
  </si>
  <si>
    <t xml:space="preserve">Baltinavas kultūras nams </t>
  </si>
  <si>
    <t xml:space="preserve">Balvu Novada muzejs </t>
  </si>
  <si>
    <t xml:space="preserve">P/A SAN-TEX </t>
  </si>
  <si>
    <t>Sociālās mājas</t>
  </si>
  <si>
    <t xml:space="preserve">Bērzpils pamatskola </t>
  </si>
  <si>
    <t xml:space="preserve">Bērzkalnes pagasta komunālā saimniecība </t>
  </si>
  <si>
    <t xml:space="preserve">Kupravas pagasta komunālā saimniecība </t>
  </si>
  <si>
    <t xml:space="preserve">Šķilbēnu pagasta komunālā saimniecība </t>
  </si>
  <si>
    <t xml:space="preserve">Vecumu komunālā saimniecība </t>
  </si>
  <si>
    <t xml:space="preserve">Sociālā pārvalde </t>
  </si>
  <si>
    <t xml:space="preserve">Balvu Centrālā bibliotēka </t>
  </si>
  <si>
    <t>Balvu kultūras un atpūtas centra kultūras pasākumi</t>
  </si>
  <si>
    <t xml:space="preserve">Skolēnu pārvadāšana Susāju pagasta pārvalde </t>
  </si>
  <si>
    <t xml:space="preserve">Skolēnu pārvadāšana Šķilbēnu pagasta pārvalde </t>
  </si>
  <si>
    <t xml:space="preserve">Skolēnu pārvadāšana Viļakā </t>
  </si>
  <si>
    <t xml:space="preserve">Rugāju pagasta komunālā saimniecība </t>
  </si>
  <si>
    <t xml:space="preserve">Viļakas muzejs </t>
  </si>
  <si>
    <t xml:space="preserve">Baltinavas muzejs </t>
  </si>
  <si>
    <t xml:space="preserve">“Remigrācijas atbalsta pasākums – uzņēmējdarbības atbalsts” </t>
  </si>
  <si>
    <t>17.2.0.0</t>
  </si>
  <si>
    <t>Vēlēšanu komisija</t>
  </si>
  <si>
    <t xml:space="preserve">Projekts “Remigrācijas atbalsta pasākums – uzņēmējdarbības atbalsts” </t>
  </si>
  <si>
    <t>Sociāli pakalpojumi</t>
  </si>
  <si>
    <t>21.0.0.0</t>
  </si>
  <si>
    <t>Latvijas neredzīgo biedrība</t>
  </si>
  <si>
    <t>Balvu novada domes</t>
  </si>
  <si>
    <t>Daudzfunkcionālais  sociālo pakalpojumu centrs</t>
  </si>
  <si>
    <t>Rekavas  komunālā saimniecība notekūdeņi</t>
  </si>
  <si>
    <t>Projekts "Plecu pie pleca"</t>
  </si>
  <si>
    <t>Erasmus+ Projekts 2024-1-LV01-KA121-SCH-000209869</t>
  </si>
  <si>
    <t xml:space="preserve"> JSPA Projekts  Nr.2024-1-LV02-KA154-YOU-000237997- "Dots devējam atdodas"</t>
  </si>
  <si>
    <t>Skolēnu nodarbinātība vasarā</t>
  </si>
  <si>
    <t>Valsts dotācija asistentu pakalpojumu nodrošināšanai</t>
  </si>
  <si>
    <t xml:space="preserve">    F22010000</t>
  </si>
  <si>
    <t>Nemateriālās kultūras mantojuma centrs "Upīte" - bibliotēka</t>
  </si>
  <si>
    <t>Nemateriālās kultūras mantojuma centrs "Upīte" - muzejs</t>
  </si>
  <si>
    <t>"Par Balvu novada pašvaldības 2025.gada budžetu"</t>
  </si>
  <si>
    <t>Apstiprināts 2025. gadam (EUR)</t>
  </si>
  <si>
    <t xml:space="preserve">                    Balvu novada pašvaldības pamatbudžeta ieņēmumi 2025.gadam ( EUR)</t>
  </si>
  <si>
    <t>Apstiprināts 2025.gadam (EUR)</t>
  </si>
  <si>
    <t>Stacijas  pamatskola</t>
  </si>
  <si>
    <t>Balvu pilsētas teritorijas apsaimniekošana</t>
  </si>
  <si>
    <t>Balvu muižas ēkas saimnieciskie izdevumi</t>
  </si>
  <si>
    <t>Viļakas pirmsskolas izglītības iestāde "Namiņš" Žīguru grupa</t>
  </si>
  <si>
    <t>Viļakas PII "Namiņš" Žīguru grupa</t>
  </si>
  <si>
    <t>21.3.9.4.1</t>
  </si>
  <si>
    <t>Ieņēmumi no pašvaldības dzīvojamā fonda  īres</t>
  </si>
  <si>
    <t xml:space="preserve">     Balvu novada pašvaldības 2025.gada  pamatbudžeta izdevumi atbilstoši ekonomiskajām kategorijām (EUR)</t>
  </si>
  <si>
    <t>Mērķdotācijas Eiropas Savienības ārējās robežas pašvaldībām.</t>
  </si>
  <si>
    <t>9.4.3.0.</t>
  </si>
  <si>
    <t>Valsts nodeva par uzvārda, vārda un tautības ieraksta maiņu personu apliecinošos dokumentos</t>
  </si>
  <si>
    <t>9.4.6.0.</t>
  </si>
  <si>
    <t>Valsts nodeva par speciālu atļauju (licenču) izsniegšanu</t>
  </si>
  <si>
    <t>Balvu apvienības pārvalde</t>
  </si>
  <si>
    <t>Baltinavas apvienības pārvalde</t>
  </si>
  <si>
    <t>Rugāju apvienības pārvalde</t>
  </si>
  <si>
    <t>Viļakas apvienības pārvalde</t>
  </si>
  <si>
    <t>Rugāju  apvienības pārvalde</t>
  </si>
  <si>
    <t>Baltinavas teritorijas apsaimniekošana</t>
  </si>
  <si>
    <t>Balvu novada pašvaldības pamatbudžeta izdevumi 2025.gadam (EUR)</t>
  </si>
  <si>
    <t>Bezemisiju  transportlīdzekļa iegāde skolēnu pārvadāšanai Balvu novadā</t>
  </si>
  <si>
    <t>SAM 6.1.1.3 Uzņēmējdarbības veicināšanai nepieciešamās publiskās infrastruktūras kvalitātes uzlabošana Balvos SAM</t>
  </si>
  <si>
    <t>SAM 5.1.1.1  Publiskās infrastruktūras kvalitātes uzlabošana uzņēmējdarbības atbalstam Balvos</t>
  </si>
  <si>
    <t>Upju un ezeru krastu stiprināšanas pasākumi-paskaidrojuma raksti, atzinumi prioritārajām upēm un ezeriem</t>
  </si>
  <si>
    <t xml:space="preserve">Balvu valsts ģimnāzijas projekts "Ecological thinking within our minds" </t>
  </si>
  <si>
    <t>Balvu valsts ģimnāzijas projekts "EcoQuest: Exploring Sustainable Living in Every Step"</t>
  </si>
  <si>
    <t>Balvu valsts ģimnāzijas projekts "Our Baltic Sea"NPJR-2024/10114</t>
  </si>
  <si>
    <t>Rugāju vidusskolas Erasmus+ Projekts 2024-1-LV01-KA121-SCH-000209869</t>
  </si>
  <si>
    <t>Ielu apgaismojums Viļakas pilsētā</t>
  </si>
  <si>
    <t>Susāju pagasta komunālā saimniecība</t>
  </si>
  <si>
    <t>Žīguru pagasta komunālā saimniecība</t>
  </si>
  <si>
    <t>Medņevas pagasta  komunālā saimniecība</t>
  </si>
  <si>
    <t>Lazdulejas pagasta komunālā saimniecība.</t>
  </si>
  <si>
    <t>Baltinavas pagasta komunālā saimniecība</t>
  </si>
  <si>
    <t>Rugāju pagasta komunālā saimniecība(veļas māja)</t>
  </si>
  <si>
    <t>Baltinavas pagasta komunālā saimniecība(veļas māja)</t>
  </si>
  <si>
    <t>Viļakas pilsētas komunālā saimniecība</t>
  </si>
  <si>
    <t>Balvu ielas posma seguma atjaunošana un ūdens atvades sistēmas sakārtošanai Kubulu pagastā</t>
  </si>
  <si>
    <t>Bērzkalnes  pagasta ūdensapgāde</t>
  </si>
  <si>
    <t>Bērzpils  pagasta ūdensapgāde</t>
  </si>
  <si>
    <t>Briežuciema  pagasta ūdensapgāde</t>
  </si>
  <si>
    <t>Krišjāņu  pagasta ūdensapgāde</t>
  </si>
  <si>
    <t>Kubulu  pagasta ūdensapgāde</t>
  </si>
  <si>
    <t>Kupravas  pagasta ūdensapgāde</t>
  </si>
  <si>
    <t>Lazdulejas  pagasta ūdensapgāde</t>
  </si>
  <si>
    <t>Medņevas  pagasta ūdensapgāde</t>
  </si>
  <si>
    <t>Rekavas  ciema ūdensapgāde</t>
  </si>
  <si>
    <t>Šķilbēnu  pagasta ūdensapgāde</t>
  </si>
  <si>
    <t>Tilžas  pagasta ūdensapgāde</t>
  </si>
  <si>
    <t>Upītes ciema  ūdensapgāde</t>
  </si>
  <si>
    <t>Vectilžas  pagasta ūdensapgāde</t>
  </si>
  <si>
    <t>Vecumu  pagasta ūdensapgāde</t>
  </si>
  <si>
    <t>Viļakas pilsētas  ūdensapgāde</t>
  </si>
  <si>
    <t>Vīksnas  pagasta ūdensapgāde</t>
  </si>
  <si>
    <t xml:space="preserve"> Žīguru  pagasta ūdensapgāde</t>
  </si>
  <si>
    <t>Rekavas ciema ūdensapgāde</t>
  </si>
  <si>
    <t>Viļakas pilsētas ūdensapgāde</t>
  </si>
  <si>
    <t>Upītes  pagasta ūdensapgāde</t>
  </si>
  <si>
    <t>Krišjāņu pagasta ūdensapgāde</t>
  </si>
  <si>
    <t>Lazdukalna  pagasta ūdensapgāde</t>
  </si>
  <si>
    <t>Rugāju  pagasta ūdensapgāde</t>
  </si>
  <si>
    <t>Upītes  ciema ūdensapgāde</t>
  </si>
  <si>
    <t>Žīguru  pagasta ūdensapgāde</t>
  </si>
  <si>
    <t>Baltinavas pagasta notekūdeņu apsaimniekošana</t>
  </si>
  <si>
    <t>Bērzkalnes pagasta notekūdeņu apsaimniekošana</t>
  </si>
  <si>
    <t>Bērzpils pagasta notekūdeņu apsaimniekošana</t>
  </si>
  <si>
    <t>Briežuciema pagasta notekūdeņu apsaimniekošana</t>
  </si>
  <si>
    <t>Kubulu pagasta notekūdeņu apsaimniekošana</t>
  </si>
  <si>
    <t>Kupravas pagasta notekūdeņu apsaimniekošana</t>
  </si>
  <si>
    <t>Krišjāņu pagasta notekūdeņu apsaimniekošana</t>
  </si>
  <si>
    <t>Lazdukalna pagasta notekūdeņu apsaimniekošana</t>
  </si>
  <si>
    <t>Lazdulejas pagasta notekūdeņu apsaimniekošana</t>
  </si>
  <si>
    <t>Medņevas pagasta notekūdeņu apsaimniekošana</t>
  </si>
  <si>
    <t>Rugāju pagasta notekūdeņu apsaimniekošana</t>
  </si>
  <si>
    <t>Viļakas pilsētas notekūdeņu apsaimniekošana</t>
  </si>
  <si>
    <t>Vīksnas pagasta notekūdeņu apsaimniekošana</t>
  </si>
  <si>
    <t>Žīguru pagasta notekūdeņu apsaimniekošana</t>
  </si>
  <si>
    <t>Viļakas pilsētas atkritumu apsaimniekošana</t>
  </si>
  <si>
    <t>Žīguru pagasta komunālā saimniecība - apkure</t>
  </si>
  <si>
    <t>Balvu novada teritorijas plānojuma izstrāde</t>
  </si>
  <si>
    <t>Projekts "Atbalsta pasākumu cilvēkiem ar invaliditāti mājokļu vides pieejamības nodrošināšanā Balvu novadā"</t>
  </si>
  <si>
    <t xml:space="preserve">XIII Latvijas Skolu jaunatnes dziesmu un deju svētki </t>
  </si>
  <si>
    <t>Projekts "Sociālo mājokļu atjaunošana vai jauno sociālo mājokļu būvniecība Balvu novadā"</t>
  </si>
  <si>
    <t>Vides pieejamības nodrošināšana Balvu novada publisko pakalpojumu ēkās</t>
  </si>
  <si>
    <t>Valsts sociālās apdrošināšanas obligātās iemaksas no nepilnām likmēm</t>
  </si>
  <si>
    <t xml:space="preserve"> Naudas līdzekļu atlikums gada sākumā</t>
  </si>
  <si>
    <t xml:space="preserve"> Naudas līdzekļu atlikums perioda beigās</t>
  </si>
  <si>
    <t xml:space="preserve">    F21010000 AS</t>
  </si>
  <si>
    <t xml:space="preserve">    F21010000</t>
  </si>
  <si>
    <t>Projekts "Sabiedrības digitālo prasmju attīstība"</t>
  </si>
  <si>
    <t>Projekts "Esi vesels Balvu novadā!"</t>
  </si>
  <si>
    <t>LL-00303 “Robotikas
un dronu konstruēšanas un pilotēšanas kompetenču kā sociālās iekļaušanas metodes
attīstība Latgales, Visaginas un Ignalinas pārrobežu reģionos”</t>
  </si>
  <si>
    <t>LL-00303 projekts “Robotikas
un dronu konstruēšanas un pilotēšanas kompetenču kā sociālās iekļaušanas metodes
attīstība Latgales, Visaginas un Ignalinas pārrobežu reģionos”</t>
  </si>
  <si>
    <t>Pedagogu atlīdzības valsts finansējuma rezerves fonds</t>
  </si>
  <si>
    <t>Valsts un pašvaldības vienotā klientu apkalpošanas centru izveidei</t>
  </si>
  <si>
    <t>Balvu profesionālās un vispārizglītojošās vidusskolas Erasmus+ projekts "Iekļaujoša profesionālā izglītība" 2024-1-LVKA122-VET-000241233</t>
  </si>
  <si>
    <t>Balvu Valsts ģimnāzijas Nord+ projekts "Ecological thinking within our minds"</t>
  </si>
  <si>
    <t>Viļakas vidusskolas Erasmus+ projekts "SEED"</t>
  </si>
  <si>
    <t>Valsts dotācija - kompensācija pašvaldību finanšu izlīdzināšanas sistēmā pēc iedzīvotāju ienākuma nodokļa sadales principiem</t>
  </si>
  <si>
    <t xml:space="preserve">Balvu sporta skolas pasākumi novadā </t>
  </si>
  <si>
    <t>Labklājības ministrijas finansējums sociālajiem pakalpojumiem - atbalsts bārēņiem un bērniem ar invaliditāti</t>
  </si>
  <si>
    <t>Labklājības ministrija- izdevumu kompensācija par no vardarbības cietušu pieaugušu personu rehabilitāciju
dzīvesvietā</t>
  </si>
  <si>
    <t>Erasmus + projekts Play, Learn, Act, Ensure Sustainable Development Viļakas vidusskola</t>
  </si>
  <si>
    <t>Projekts  Nr.2024-1-LV02-KA154-YOU-000237997- "Dots devējam atdodas" Rugāju vidusskola</t>
  </si>
  <si>
    <t>Akcijas un cita līdzdalība komersantu pašu kapitālā, neskaitot kopieguldījumu fondu akcijas, un ieguldījumi starptautisko organizāciju kapitālā (iegāde)</t>
  </si>
  <si>
    <t>F55 01 00 10</t>
  </si>
  <si>
    <t>Fonds "Sibīrijas bērni"</t>
  </si>
  <si>
    <t>Biedrība "Sudraba pakavi"</t>
  </si>
  <si>
    <t>Pašvaldības īpašumu atsavināšanas rezultātā  iegūto līdzekļu sadales daļa</t>
  </si>
  <si>
    <t>Finansējums nevalstiskajām organizācijām projektu īstenošanai</t>
  </si>
  <si>
    <t>Balvu novada pašvaldības pamatbudžets 2025.gadam ( EUR)</t>
  </si>
  <si>
    <t>9 Starptaustiskais mākslas plenērs "Valdis Bušs 2025"</t>
  </si>
  <si>
    <t>Alternatīvās ūdensapgādes sistēmas izbūve Liepu ielā, Balvos</t>
  </si>
  <si>
    <t>Izglītības iestāžu datortehnikas iegāde</t>
  </si>
  <si>
    <t>Vīksnas pagasta ūdensapgāde</t>
  </si>
  <si>
    <t>Žīguru pagasta ūdensapgāde</t>
  </si>
  <si>
    <t>Upītes feldšeru veselības punkts</t>
  </si>
  <si>
    <t>Kupravas feldšeru veselības punkts</t>
  </si>
  <si>
    <t>Krišjānu feldšeru veselības punkts</t>
  </si>
  <si>
    <t>Krišjāņu pagasta komunālā saimniecība - apkure</t>
  </si>
  <si>
    <t>Kupravas pagasta komunālā saimniecība - apkure</t>
  </si>
  <si>
    <t>Rekavas pagasta komunālā saimniecība - apkure</t>
  </si>
  <si>
    <t>Tilžas pagasta komunālā saimniecība - apkure</t>
  </si>
  <si>
    <t>Vecumu pagasta komunālā saimniecība - apkure</t>
  </si>
  <si>
    <t xml:space="preserve"> Rekavas pagasta komunālā saimniecība - apkure</t>
  </si>
  <si>
    <t xml:space="preserve">Vispārējie pamatbudžeta ieņēmumi (EUR) </t>
  </si>
  <si>
    <t xml:space="preserve">Maksas pakalpojumi un pašu ieņēmumi (EUR) </t>
  </si>
  <si>
    <t>Valsts mērķdotācijas (EUR)</t>
  </si>
  <si>
    <t>KOPĀ (EUR)</t>
  </si>
  <si>
    <t>Feldšeru veselības punktu dotācija</t>
  </si>
  <si>
    <t>2025.gada 30.janvāra saistošajiem noteikumiem Nr.4/2025</t>
  </si>
  <si>
    <t>2025.gada  30.janvāra saistošajiem noteikumiem Nr.4/2025</t>
  </si>
  <si>
    <t>2025.gada 30.janvāra  saistošajiem noteikumiem Nr.4/2025</t>
  </si>
  <si>
    <t>Grozījumi</t>
  </si>
  <si>
    <t>Grozījumi   (EUR)</t>
  </si>
  <si>
    <t>Pavisam   (EUR)</t>
  </si>
  <si>
    <t>"Grozījumi 2025.gada 30.janvāra saistošajiem noteikumiem Nr.4/2025</t>
  </si>
  <si>
    <t>18.6.2.0.12</t>
  </si>
  <si>
    <t>Valsts budžeta finansējums mācību līdzekļu iegādei</t>
  </si>
  <si>
    <t>18.6.2.0.47</t>
  </si>
  <si>
    <t>Valsts budžeta finansējums latgaliešu rakstu valodas apguvei.</t>
  </si>
  <si>
    <t>KKF projekti</t>
  </si>
  <si>
    <t>18.6.2.0.17</t>
  </si>
  <si>
    <t>Projekts "Bungu komplekta iegāde Balvu mūzikas skolai"</t>
  </si>
  <si>
    <t>Projekts "Baltinavas muzeja ekspozīcijas "Baltinavas laika lokos"dizaina projekta izstrāde"</t>
  </si>
  <si>
    <t>Projekts "9 Starptaustiskais mākslas plenērs "Valdis Bušs 2025""</t>
  </si>
  <si>
    <t>21.4.9.9.3</t>
  </si>
  <si>
    <t>21.4.9.0</t>
  </si>
  <si>
    <t>Citi iepriekš neklasificētie pašu ieņēmumi</t>
  </si>
  <si>
    <t>Biedrības "Kalmārs"projekts "Be the opportunity II"</t>
  </si>
  <si>
    <t>Projekts "Sabiedrības līdzdalības aktivizēšana pašvaldības darbā, mācoties no Jerez de la afaronteras un Romas pieredzes"</t>
  </si>
  <si>
    <t>Projekts "Viļakas ezera pieejamības attīstība"</t>
  </si>
  <si>
    <t xml:space="preserve">Latgales Reģionālais atbalsta centrs "Rasas pērles"" </t>
  </si>
  <si>
    <t>Projekts "Pašvaldības  nozīmes koplietošanas meliorācijas sistēmas novadgrāvja atjaunošana Lazdukalna pagasta Slavītos"</t>
  </si>
  <si>
    <t>Projekts "Pašvaldības  nozīmes koplietošanas meliorācijas sistēmas novadgrāvja atjaunošana Lazdukalna pagasta Beņislavā"</t>
  </si>
  <si>
    <t>Projekts "Pašvaldības  nozīmes koplietošanas meliorācijas sistēmas novadgrāvja atjaunošana Lazdukalna pagasta Papurnē"</t>
  </si>
  <si>
    <t>Projekts "Pašvaldības  nozīmes koplietošanas meliorācijas sistēmas novadgrāvja atjaunošana Rugāju pagasta Kozupē"</t>
  </si>
  <si>
    <t>Nord plus Projekts Balvu sākumskola Back to the future</t>
  </si>
  <si>
    <t>Balvu Centrālās bibliotēkas projekts "Lasītāji satiek rakstniekus 2025"</t>
  </si>
  <si>
    <t>Viļakas muzeja projekts "Nikolaja Breikša gleznas "Keišu ciems""</t>
  </si>
  <si>
    <t>Baltinavas muzeja projekts  "Baltinavas muzeja ekspozīcijas "Baltinavas laika lokos"dizaina projekta izstrāde"</t>
  </si>
  <si>
    <t>Balvu Centrālās bibliotēkas projekts "Maija dziedājumi pie ciemu krustiem Ziemeļlatgalē: tradīcijas dinamikas izpēte</t>
  </si>
  <si>
    <t>Balvu Centrālās bibliotēkas projekts "Grāmtniecība, lasīšanas paradumi un to kultivēšana Ziemeļlatgalē"</t>
  </si>
  <si>
    <t>Balvu Kultūras un atpūtas centra projekts "XXVI Balvu kamermūzikas festivāls"</t>
  </si>
  <si>
    <t>Kultūras pārvaldes projekts "Vislatvijas senioru sadziedāšanaās svētki "Dziesma dvēseles priekam""</t>
  </si>
  <si>
    <t>Skolēnu autobusu iegāde</t>
  </si>
  <si>
    <t>Eiropas pilsētiniciartīvas pilsētu atbalsta konkurss "Peer Review"</t>
  </si>
  <si>
    <t>Eiropas pilsētiniciatīvas pilsētu atbalsta konkurss “Peer Review”</t>
  </si>
  <si>
    <t>Apstiprināts ar grozījumiem 2025. gadam (EUR)</t>
  </si>
  <si>
    <t xml:space="preserve">Grozījumi  (EUR) </t>
  </si>
  <si>
    <t>Erasmus + programmas projekts "Pozitīvs jaunietis"</t>
  </si>
  <si>
    <t>Balvu evanģēliski luteriskās baznīca</t>
  </si>
  <si>
    <t>Balvu evanģēliski luteriskā baznīca</t>
  </si>
  <si>
    <t>Nord plus projekts Balvu sākumskola "Back to the future"</t>
  </si>
  <si>
    <t>Latgales reģiona attīstības aģentūras finansējums projektam "9 Starptaustiskais mākslas plenērs "Valdis Bušs 2025""</t>
  </si>
  <si>
    <t>Pašvaldības un tās iestāžu savstarpēji transferti</t>
  </si>
  <si>
    <t>Erasmus + programmas Stacijas pamatskolas projekts "Pozitīvs jaunietis"</t>
  </si>
  <si>
    <t>Projekts "Bezemisiju  transportlīdzekļa iegāde skolēnu pārvadāšanai Balvu novadā"</t>
  </si>
  <si>
    <t>Projekts "Vides pieejamības nodrošināšana Balvu novada publisko pakalpojumu ēkās"</t>
  </si>
  <si>
    <t>Projekts "Uzņēmējdarbības veicināšanai nepieciešamās publiskās infrastruktūras kvalitātes uzlabošana Balvos"</t>
  </si>
  <si>
    <t>Projekts "Publiskās infrastruktūras kvalitātes uzlabošana uzņēmējdarbības atbalstam Balvos"</t>
  </si>
  <si>
    <t>Projekts "Valsts un pašvaldības vienotā klientu apkalpošanas centru izveidei"</t>
  </si>
  <si>
    <t>Centrālās bibliotēkas valsts dotācija pielāgotās literatūras bibliotēkas darbinieka darba algai un saimnieciskajiem izdevumiem</t>
  </si>
  <si>
    <t xml:space="preserve">Domes priekšsēdētājs                                                                        J. Trupovnieks </t>
  </si>
  <si>
    <t>Domes priekšsēdētājs                                                                                                    J.Trupovnieks</t>
  </si>
  <si>
    <t>Domes priekšsēdētājs                                                                                               J.Trupovnieks</t>
  </si>
  <si>
    <t xml:space="preserve">Domes priekšsēdētājs                                                                                              J.Trupovnieks                                         </t>
  </si>
  <si>
    <t>2025.gada 26. jūnija saistošajiem noteikumiem Nr. 8/2025</t>
  </si>
  <si>
    <t>2025.gada 26. jūnija saistošajiem noteikumiem Nr.8/2025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</si>
</sst>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0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u val="single"/>
      <sz val="12"/>
      <color indexed="8"/>
      <name val="Times New Roman"/>
      <family val="1"/>
      <charset val="186"/>
    </font>
    <font>
      <b/>
      <sz val="12"/>
      <color rgb="FF7030A0"/>
      <name val="Times New Roman"/>
      <family val="1"/>
      <charset val="186"/>
    </font>
    <font>
      <b/>
      <sz val="12"/>
      <color indexed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b/>
      <sz val="16"/>
      <name val="Times New Roman"/>
      <family val="1"/>
      <charset val="186"/>
    </font>
    <font>
      <sz val="14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2"/>
      <color rgb="FF00B0F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sz val="14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245">
    <xf numFmtId="0" fontId="0" fillId="0" borderId="0" xfId="0"/>
    <xf numFmtId="0" fontId="1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10" fillId="0" borderId="0" xfId="0" applyFont="1"/>
    <xf numFmtId="0" fontId="13" fillId="0" borderId="0" xfId="0" applyFont="1"/>
    <xf numFmtId="0" fontId="13" fillId="2" borderId="0" xfId="0" applyFont="1" applyFill="1"/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wrapText="1"/>
      <protection locked="0"/>
    </xf>
    <xf numFmtId="0" fontId="12" fillId="0" borderId="1" xfId="0" applyFont="1" applyBorder="1" applyAlignment="1" applyProtection="1">
      <alignment horizontal="left" wrapText="1"/>
      <protection locked="0"/>
    </xf>
    <xf numFmtId="3" fontId="12" fillId="2" borderId="1" xfId="0" applyNumberFormat="1" applyFont="1" applyFill="1" applyBorder="1" applyAlignment="1" applyProtection="1">
      <alignment horizontal="center" wrapText="1"/>
      <protection locked="0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 applyProtection="1">
      <alignment horizontal="left" wrapText="1"/>
      <protection locked="0"/>
    </xf>
    <xf numFmtId="0" fontId="13" fillId="0" borderId="1" xfId="0" applyFont="1" applyBorder="1" applyAlignment="1" applyProtection="1">
      <alignment horizontal="center" wrapText="1"/>
      <protection locked="0"/>
    </xf>
    <xf numFmtId="3" fontId="13" fillId="2" borderId="1" xfId="0" applyNumberFormat="1" applyFont="1" applyFill="1" applyBorder="1" applyAlignment="1" applyProtection="1">
      <alignment horizontal="center" wrapText="1"/>
      <protection locked="0"/>
    </xf>
    <xf numFmtId="0" fontId="12" fillId="0" borderId="1" xfId="0" applyFont="1" applyBorder="1" applyAlignment="1">
      <alignment horizontal="left" wrapText="1"/>
    </xf>
    <xf numFmtId="3" fontId="12" fillId="2" borderId="1" xfId="0" applyNumberFormat="1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 wrapText="1"/>
    </xf>
    <xf numFmtId="3" fontId="13" fillId="2" borderId="1" xfId="0" applyNumberFormat="1" applyFont="1" applyFill="1" applyBorder="1" applyAlignment="1">
      <alignment horizontal="center" wrapText="1"/>
    </xf>
    <xf numFmtId="49" fontId="13" fillId="0" borderId="5" xfId="0" applyNumberFormat="1" applyFont="1" applyBorder="1" applyAlignment="1">
      <alignment horizontal="left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3" fontId="12" fillId="2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3" fillId="0" borderId="1" xfId="0" applyFont="1" applyBorder="1"/>
    <xf numFmtId="3" fontId="13" fillId="2" borderId="1" xfId="0" applyNumberFormat="1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4" fillId="0" borderId="0" xfId="0" applyFont="1"/>
    <xf numFmtId="3" fontId="3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top"/>
    </xf>
    <xf numFmtId="0" fontId="0" fillId="0" borderId="1" xfId="0" applyBorder="1"/>
    <xf numFmtId="2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43" fontId="3" fillId="0" borderId="1" xfId="20" applyFont="1" applyFill="1" applyBorder="1" applyAlignment="1">
      <alignment horizontal="center" vertical="top"/>
    </xf>
    <xf numFmtId="0" fontId="19" fillId="0" borderId="0" xfId="0" applyFont="1"/>
    <xf numFmtId="3" fontId="0" fillId="0" borderId="0" xfId="0" applyNumberFormat="1"/>
    <xf numFmtId="0" fontId="9" fillId="0" borderId="0" xfId="0" applyFont="1"/>
    <xf numFmtId="0" fontId="23" fillId="0" borderId="0" xfId="0" applyFont="1"/>
    <xf numFmtId="1" fontId="8" fillId="0" borderId="0" xfId="0" applyNumberFormat="1" applyFont="1"/>
    <xf numFmtId="0" fontId="9" fillId="0" borderId="1" xfId="0" applyFont="1" applyBorder="1" applyAlignment="1">
      <alignment horizontal="center"/>
    </xf>
    <xf numFmtId="0" fontId="24" fillId="0" borderId="0" xfId="0" applyFont="1"/>
    <xf numFmtId="3" fontId="8" fillId="0" borderId="0" xfId="0" applyNumberFormat="1" applyFont="1"/>
    <xf numFmtId="0" fontId="11" fillId="0" borderId="1" xfId="0" applyFont="1" applyBorder="1" applyAlignment="1">
      <alignment horizontal="center" vertical="top"/>
    </xf>
    <xf numFmtId="0" fontId="17" fillId="0" borderId="0" xfId="0" applyFont="1"/>
    <xf numFmtId="0" fontId="20" fillId="0" borderId="0" xfId="0" applyFont="1"/>
    <xf numFmtId="0" fontId="21" fillId="0" borderId="0" xfId="0" applyFont="1"/>
    <xf numFmtId="3" fontId="2" fillId="2" borderId="1" xfId="0" applyNumberFormat="1" applyFont="1" applyFill="1" applyBorder="1"/>
    <xf numFmtId="3" fontId="25" fillId="2" borderId="1" xfId="0" applyNumberFormat="1" applyFont="1" applyFill="1" applyBorder="1"/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wrapText="1"/>
    </xf>
    <xf numFmtId="3" fontId="11" fillId="2" borderId="1" xfId="0" applyNumberFormat="1" applyFont="1" applyFill="1" applyBorder="1"/>
    <xf numFmtId="3" fontId="9" fillId="2" borderId="1" xfId="0" applyNumberFormat="1" applyFont="1" applyFill="1" applyBorder="1"/>
    <xf numFmtId="3" fontId="19" fillId="0" borderId="0" xfId="0" applyNumberFormat="1" applyFont="1"/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wrapText="1"/>
    </xf>
    <xf numFmtId="3" fontId="18" fillId="2" borderId="1" xfId="0" applyNumberFormat="1" applyFont="1" applyFill="1" applyBorder="1"/>
    <xf numFmtId="0" fontId="8" fillId="2" borderId="0" xfId="0" applyFont="1" applyFill="1"/>
    <xf numFmtId="0" fontId="23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1" fontId="2" fillId="2" borderId="0" xfId="0" applyNumberFormat="1" applyFont="1" applyFill="1"/>
    <xf numFmtId="3" fontId="11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/>
    <xf numFmtId="3" fontId="7" fillId="2" borderId="0" xfId="0" applyNumberFormat="1" applyFont="1" applyFill="1" applyAlignment="1">
      <alignment vertical="top"/>
    </xf>
    <xf numFmtId="3" fontId="27" fillId="2" borderId="1" xfId="0" applyNumberFormat="1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wrapText="1"/>
    </xf>
    <xf numFmtId="0" fontId="19" fillId="2" borderId="0" xfId="0" applyFont="1" applyFill="1"/>
    <xf numFmtId="0" fontId="9" fillId="2" borderId="1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left"/>
    </xf>
    <xf numFmtId="0" fontId="18" fillId="2" borderId="1" xfId="0" applyFont="1" applyFill="1" applyBorder="1"/>
    <xf numFmtId="49" fontId="11" fillId="2" borderId="1" xfId="0" applyNumberFormat="1" applyFont="1" applyFill="1" applyBorder="1"/>
    <xf numFmtId="3" fontId="9" fillId="2" borderId="1" xfId="0" applyNumberFormat="1" applyFont="1" applyFill="1" applyBorder="1" applyAlignment="1">
      <alignment horizontal="right"/>
    </xf>
    <xf numFmtId="0" fontId="2" fillId="2" borderId="0" xfId="0" applyFont="1" applyFill="1" applyAlignment="1">
      <alignment wrapText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3" fontId="2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vertical="top" wrapText="1"/>
    </xf>
    <xf numFmtId="3" fontId="3" fillId="0" borderId="0" xfId="0" applyNumberFormat="1" applyFont="1" applyAlignment="1">
      <alignment horizontal="right" wrapText="1"/>
    </xf>
    <xf numFmtId="0" fontId="2" fillId="2" borderId="0" xfId="0" applyFont="1" applyFill="1" applyAlignment="1">
      <alignment horizontal="center"/>
    </xf>
    <xf numFmtId="3" fontId="11" fillId="2" borderId="6" xfId="0" applyNumberFormat="1" applyFont="1" applyFill="1" applyBorder="1"/>
    <xf numFmtId="3" fontId="9" fillId="2" borderId="6" xfId="0" applyNumberFormat="1" applyFont="1" applyFill="1" applyBorder="1"/>
    <xf numFmtId="3" fontId="18" fillId="2" borderId="6" xfId="0" applyNumberFormat="1" applyFont="1" applyFill="1" applyBorder="1"/>
    <xf numFmtId="3" fontId="2" fillId="2" borderId="6" xfId="0" applyNumberFormat="1" applyFont="1" applyFill="1" applyBorder="1"/>
    <xf numFmtId="3" fontId="9" fillId="2" borderId="1" xfId="0" applyNumberFormat="1" applyFont="1" applyFill="1" applyBorder="1" applyAlignment="1">
      <alignment horizontal="right" wrapText="1"/>
    </xf>
    <xf numFmtId="3" fontId="3" fillId="0" borderId="0" xfId="0" applyNumberFormat="1" applyFont="1" applyAlignment="1">
      <alignment horizontal="center"/>
    </xf>
    <xf numFmtId="0" fontId="28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 wrapText="1"/>
    </xf>
    <xf numFmtId="3" fontId="9" fillId="2" borderId="7" xfId="0" applyNumberFormat="1" applyFont="1" applyFill="1" applyBorder="1" applyAlignment="1">
      <alignment horizontal="center" wrapText="1"/>
    </xf>
    <xf numFmtId="3" fontId="9" fillId="2" borderId="8" xfId="0" applyNumberFormat="1" applyFont="1" applyFill="1" applyBorder="1" applyAlignment="1">
      <alignment horizontal="center" wrapText="1"/>
    </xf>
    <xf numFmtId="3" fontId="9" fillId="2" borderId="4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9" xfId="0" applyNumberFormat="1" applyFont="1" applyFill="1" applyBorder="1" applyAlignment="1">
      <alignment horizontal="center" wrapText="1"/>
    </xf>
    <xf numFmtId="1" fontId="7" fillId="2" borderId="0" xfId="0" applyNumberFormat="1" applyFont="1" applyFill="1" applyAlignment="1">
      <alignment vertical="top"/>
    </xf>
    <xf numFmtId="1" fontId="7" fillId="2" borderId="0" xfId="0" applyNumberFormat="1" applyFont="1" applyFill="1" applyAlignment="1">
      <alignment vertical="top" wrapText="1"/>
    </xf>
    <xf numFmtId="1" fontId="8" fillId="2" borderId="0" xfId="0" applyNumberFormat="1" applyFont="1" applyFill="1"/>
    <xf numFmtId="0" fontId="27" fillId="2" borderId="4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 wrapText="1"/>
    </xf>
    <xf numFmtId="3" fontId="3" fillId="2" borderId="1" xfId="0" applyNumberFormat="1" applyFont="1" applyFill="1" applyBorder="1" applyAlignment="1">
      <alignment horizontal="right"/>
    </xf>
    <xf numFmtId="3" fontId="5" fillId="2" borderId="1" xfId="0" applyNumberFormat="1" applyFont="1" applyFill="1" applyBorder="1"/>
    <xf numFmtId="0" fontId="9" fillId="2" borderId="0" xfId="0" applyFont="1" applyFill="1"/>
    <xf numFmtId="0" fontId="11" fillId="2" borderId="0" xfId="0" applyFont="1" applyFill="1" applyAlignment="1">
      <alignment horizontal="center"/>
    </xf>
    <xf numFmtId="0" fontId="8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vertical="top" wrapText="1"/>
    </xf>
    <xf numFmtId="3" fontId="23" fillId="2" borderId="0" xfId="0" applyNumberFormat="1" applyFont="1" applyFill="1"/>
    <xf numFmtId="3" fontId="2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/>
    </xf>
    <xf numFmtId="0" fontId="26" fillId="2" borderId="1" xfId="0" applyFont="1" applyFill="1" applyBorder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wrapText="1"/>
    </xf>
    <xf numFmtId="0" fontId="8" fillId="2" borderId="7" xfId="0" applyFont="1" applyFill="1" applyBorder="1" applyAlignment="1">
      <alignment vertical="center" wrapText="1"/>
    </xf>
    <xf numFmtId="0" fontId="10" fillId="2" borderId="0" xfId="0" applyFont="1" applyFill="1"/>
    <xf numFmtId="0" fontId="27" fillId="2" borderId="7" xfId="0" applyFont="1" applyFill="1" applyBorder="1" applyAlignment="1">
      <alignment horizontal="center" wrapText="1"/>
    </xf>
    <xf numFmtId="0" fontId="27" fillId="2" borderId="3" xfId="0" applyFont="1" applyFill="1" applyBorder="1" applyAlignment="1">
      <alignment horizontal="center" wrapText="1"/>
    </xf>
    <xf numFmtId="3" fontId="2" fillId="0" borderId="1" xfId="0" applyNumberFormat="1" applyFont="1" applyBorder="1" applyAlignment="1">
      <alignment horizontal="right" wrapText="1"/>
    </xf>
    <xf numFmtId="0" fontId="28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vertical="top" wrapText="1"/>
    </xf>
    <xf numFmtId="3" fontId="27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3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wrapText="1"/>
    </xf>
    <xf numFmtId="3" fontId="9" fillId="0" borderId="4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 wrapText="1"/>
    </xf>
    <xf numFmtId="3" fontId="9" fillId="0" borderId="3" xfId="0" applyNumberFormat="1" applyFont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3" fontId="25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1" fontId="7" fillId="0" borderId="0" xfId="0" applyNumberFormat="1" applyFont="1" applyAlignment="1">
      <alignment vertical="top"/>
    </xf>
    <xf numFmtId="1" fontId="7" fillId="0" borderId="0" xfId="0" applyNumberFormat="1" applyFont="1" applyAlignment="1">
      <alignment vertical="top" wrapText="1"/>
    </xf>
    <xf numFmtId="0" fontId="11" fillId="0" borderId="1" xfId="0" applyFont="1" applyBorder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3" fontId="2" fillId="0" borderId="1" xfId="0" applyNumberFormat="1" applyFont="1" applyBorder="1"/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27" fillId="3" borderId="1" xfId="0" applyFont="1" applyFill="1" applyBorder="1" applyAlignment="1">
      <alignment horizontal="center" wrapText="1"/>
    </xf>
    <xf numFmtId="0" fontId="28" fillId="3" borderId="1" xfId="0" applyFont="1" applyFill="1" applyBorder="1" applyAlignment="1">
      <alignment horizontal="center" wrapText="1"/>
    </xf>
    <xf numFmtId="3" fontId="9" fillId="2" borderId="0" xfId="0" applyNumberFormat="1" applyFont="1" applyFill="1" applyAlignment="1">
      <alignment horizontal="center" wrapText="1"/>
    </xf>
    <xf numFmtId="0" fontId="27" fillId="3" borderId="0" xfId="0" applyFont="1" applyFill="1" applyAlignment="1">
      <alignment horizontal="center" wrapText="1"/>
    </xf>
    <xf numFmtId="3" fontId="9" fillId="0" borderId="1" xfId="0" applyNumberFormat="1" applyFont="1" applyBorder="1"/>
    <xf numFmtId="3" fontId="11" fillId="0" borderId="1" xfId="0" applyNumberFormat="1" applyFont="1" applyBorder="1"/>
    <xf numFmtId="0" fontId="18" fillId="0" borderId="1" xfId="0" applyFont="1" applyBorder="1"/>
    <xf numFmtId="0" fontId="5" fillId="0" borderId="1" xfId="0" applyFont="1" applyBorder="1"/>
    <xf numFmtId="3" fontId="13" fillId="0" borderId="1" xfId="0" applyNumberFormat="1" applyFont="1" applyBorder="1"/>
    <xf numFmtId="0" fontId="10" fillId="0" borderId="1" xfId="0" applyFont="1" applyBorder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2" xfId="0" applyFont="1" applyBorder="1"/>
    <xf numFmtId="0" fontId="6" fillId="0" borderId="0" xfId="0" applyFont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3" fontId="7" fillId="2" borderId="0" xfId="0" applyNumberFormat="1" applyFont="1" applyFill="1" applyAlignment="1">
      <alignment horizontal="center" vertical="top"/>
    </xf>
    <xf numFmtId="3" fontId="9" fillId="0" borderId="9" xfId="0" applyNumberFormat="1" applyFont="1" applyBorder="1" applyAlignment="1">
      <alignment horizontal="center" wrapText="1"/>
    </xf>
    <xf numFmtId="3" fontId="9" fillId="0" borderId="12" xfId="0" applyNumberFormat="1" applyFont="1" applyBorder="1" applyAlignment="1">
      <alignment horizontal="center" wrapText="1"/>
    </xf>
    <xf numFmtId="3" fontId="3" fillId="0" borderId="1" xfId="0" applyNumberFormat="1" applyFont="1" applyBorder="1"/>
    <xf numFmtId="3" fontId="9" fillId="3" borderId="6" xfId="0" applyNumberFormat="1" applyFont="1" applyFill="1" applyBorder="1"/>
    <xf numFmtId="0" fontId="2" fillId="3" borderId="1" xfId="0" applyFont="1" applyFill="1" applyBorder="1" applyAlignment="1">
      <alignment wrapText="1"/>
    </xf>
    <xf numFmtId="3" fontId="9" fillId="2" borderId="3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3" fontId="13" fillId="0" borderId="1" xfId="0" applyNumberFormat="1" applyFont="1" applyBorder="1" applyAlignment="1">
      <alignment horizontal="center"/>
    </xf>
    <xf numFmtId="3" fontId="13" fillId="0" borderId="0" xfId="0" applyNumberFormat="1" applyFont="1"/>
    <xf numFmtId="3" fontId="13" fillId="0" borderId="1" xfId="0" applyNumberFormat="1" applyFont="1" applyBorder="1" applyAlignment="1">
      <alignment horizontal="center" wrapText="1"/>
    </xf>
    <xf numFmtId="3" fontId="11" fillId="3" borderId="6" xfId="0" applyNumberFormat="1" applyFont="1" applyFill="1" applyBorder="1"/>
    <xf numFmtId="3" fontId="9" fillId="3" borderId="1" xfId="0" applyNumberFormat="1" applyFont="1" applyFill="1" applyBorder="1"/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top" wrapText="1"/>
    </xf>
    <xf numFmtId="0" fontId="3" fillId="0" borderId="1" xfId="0" applyFont="1" applyBorder="1"/>
    <xf numFmtId="0" fontId="9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3" borderId="1" xfId="0" applyFont="1" applyFill="1" applyBorder="1"/>
    <xf numFmtId="0" fontId="27" fillId="0" borderId="13" xfId="0" applyFont="1" applyBorder="1" applyAlignment="1">
      <alignment horizontal="center" wrapText="1"/>
    </xf>
    <xf numFmtId="0" fontId="27" fillId="0" borderId="7" xfId="0" applyFont="1" applyBorder="1" applyAlignment="1">
      <alignment horizontal="center" wrapText="1"/>
    </xf>
    <xf numFmtId="0" fontId="28" fillId="3" borderId="0" xfId="0" applyFont="1" applyFill="1" applyAlignment="1">
      <alignment horizontal="center" wrapText="1"/>
    </xf>
    <xf numFmtId="0" fontId="8" fillId="0" borderId="2" xfId="0" applyFont="1" applyBorder="1"/>
    <xf numFmtId="0" fontId="27" fillId="3" borderId="3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2" borderId="0" xfId="0" applyFont="1" applyFill="1"/>
    <xf numFmtId="0" fontId="13" fillId="0" borderId="1" xfId="0" applyFont="1" applyBorder="1" applyAlignment="1">
      <alignment horizontal="center"/>
    </xf>
    <xf numFmtId="0" fontId="2" fillId="3" borderId="0" xfId="0" applyFont="1" applyFill="1" applyAlignment="1">
      <alignment wrapText="1"/>
    </xf>
    <xf numFmtId="3" fontId="11" fillId="2" borderId="1" xfId="0" applyNumberFormat="1" applyFont="1" applyFill="1" applyBorder="1" applyAlignment="1">
      <alignment horizontal="center" wrapText="1"/>
    </xf>
    <xf numFmtId="3" fontId="24" fillId="0" borderId="0" xfId="0" applyNumberFormat="1" applyFont="1"/>
    <xf numFmtId="3" fontId="20" fillId="0" borderId="0" xfId="0" applyNumberFormat="1" applyFont="1"/>
    <xf numFmtId="3" fontId="3" fillId="2" borderId="6" xfId="0" applyNumberFormat="1" applyFont="1" applyFill="1" applyBorder="1" applyAlignment="1">
      <alignment horizontal="right" wrapText="1"/>
    </xf>
    <xf numFmtId="3" fontId="3" fillId="0" borderId="3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Komats" xfId="20" builtinId="3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7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8" Type="http://schemas.openxmlformats.org/officeDocument/2006/relationships/calcChain" Target="calcChain.xml" /><Relationship Id="rId4" Type="http://schemas.openxmlformats.org/officeDocument/2006/relationships/worksheet" Target="worksheets/sheet2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81"/>
  <sheetViews>
    <sheetView workbookViewId="0" topLeftCell="A70">
      <selection pane="topLeft" activeCell="D4" sqref="D4"/>
    </sheetView>
  </sheetViews>
  <sheetFormatPr defaultColWidth="9.14428571428571" defaultRowHeight="15.75"/>
  <cols>
    <col min="1" max="1" width="65.7142857142857" style="21" customWidth="1"/>
    <col min="2" max="3" width="13.8571428571429" style="21" customWidth="1"/>
    <col min="4" max="4" width="11.2857142857143" style="21" bestFit="1" customWidth="1"/>
    <col min="5" max="5" width="13.8571428571429" style="21" customWidth="1"/>
    <col min="6" max="6" width="11" style="21" bestFit="1" customWidth="1"/>
    <col min="7" max="11" width="9.14285714285714" style="21"/>
    <col min="12" max="12" width="11.2857142857143" style="21" bestFit="1" customWidth="1"/>
    <col min="13" max="16384" width="9.14285714285714" style="21"/>
  </cols>
  <sheetData>
    <row r="1" spans="4:16384" ht="15.75">
      <c r="D1" s="201"/>
      <c r="H1" s="201"/>
      <c r="L1" s="201"/>
      <c r="P1" s="201"/>
      <c r="T1" s="201"/>
      <c r="X1" s="201"/>
      <c r="AB1" s="201"/>
      <c r="AF1" s="201"/>
      <c r="AJ1" s="201"/>
      <c r="AN1" s="201"/>
      <c r="AR1" s="201"/>
      <c r="AV1" s="201"/>
      <c r="AZ1" s="201"/>
      <c r="BD1" s="201"/>
      <c r="BH1" s="201"/>
      <c r="BL1" s="201"/>
      <c r="BP1" s="201"/>
      <c r="BT1" s="201"/>
      <c r="BX1" s="201"/>
      <c r="CB1" s="201"/>
      <c r="CF1" s="201"/>
      <c r="CJ1" s="201"/>
      <c r="CN1" s="201"/>
      <c r="CR1" s="201"/>
      <c r="CV1" s="201"/>
      <c r="CZ1" s="201"/>
      <c r="DD1" s="201"/>
      <c r="DH1" s="201"/>
      <c r="DL1" s="201"/>
      <c r="DP1" s="201"/>
      <c r="DT1" s="201"/>
      <c r="DX1" s="201"/>
      <c r="EB1" s="201"/>
      <c r="EF1" s="201"/>
      <c r="EJ1" s="201"/>
      <c r="EN1" s="201"/>
      <c r="ER1" s="201"/>
      <c r="EV1" s="201"/>
      <c r="EZ1" s="201"/>
      <c r="FD1" s="201"/>
      <c r="FH1" s="201"/>
      <c r="FL1" s="201"/>
      <c r="FP1" s="201"/>
      <c r="FT1" s="201"/>
      <c r="FX1" s="201"/>
      <c r="GB1" s="201"/>
      <c r="GF1" s="201"/>
      <c r="GJ1" s="201"/>
      <c r="GN1" s="201"/>
      <c r="GR1" s="201"/>
      <c r="GV1" s="201"/>
      <c r="GZ1" s="201"/>
      <c r="HD1" s="201"/>
      <c r="HH1" s="201"/>
      <c r="HL1" s="201"/>
      <c r="HP1" s="201"/>
      <c r="HT1" s="201"/>
      <c r="HX1" s="201"/>
      <c r="IB1" s="201"/>
      <c r="IF1" s="201"/>
      <c r="IJ1" s="201"/>
      <c r="IN1" s="201"/>
      <c r="IR1" s="201"/>
      <c r="IV1" s="201"/>
      <c r="IZ1" s="201"/>
      <c r="JD1" s="201"/>
      <c r="JH1" s="201"/>
      <c r="JL1" s="201"/>
      <c r="JP1" s="201"/>
      <c r="JT1" s="201"/>
      <c r="JX1" s="201"/>
      <c r="KB1" s="201"/>
      <c r="KF1" s="201"/>
      <c r="KJ1" s="201"/>
      <c r="KN1" s="201"/>
      <c r="KR1" s="201"/>
      <c r="KV1" s="201"/>
      <c r="KZ1" s="201"/>
      <c r="LD1" s="201"/>
      <c r="LH1" s="201"/>
      <c r="LL1" s="201"/>
      <c r="LP1" s="201"/>
      <c r="LT1" s="201"/>
      <c r="LX1" s="201"/>
      <c r="MB1" s="201"/>
      <c r="MF1" s="201"/>
      <c r="MJ1" s="201"/>
      <c r="MN1" s="201"/>
      <c r="MR1" s="201"/>
      <c r="MV1" s="201"/>
      <c r="MZ1" s="201"/>
      <c r="ND1" s="201"/>
      <c r="NH1" s="201"/>
      <c r="NL1" s="201"/>
      <c r="NP1" s="201"/>
      <c r="NT1" s="201"/>
      <c r="NX1" s="201"/>
      <c r="OB1" s="201"/>
      <c r="OF1" s="201"/>
      <c r="OJ1" s="201"/>
      <c r="ON1" s="201"/>
      <c r="OR1" s="201"/>
      <c r="OV1" s="201"/>
      <c r="OZ1" s="201"/>
      <c r="PD1" s="201"/>
      <c r="PH1" s="201"/>
      <c r="PL1" s="201"/>
      <c r="PP1" s="201"/>
      <c r="PT1" s="201"/>
      <c r="PX1" s="201"/>
      <c r="QB1" s="201"/>
      <c r="QF1" s="201"/>
      <c r="QJ1" s="201"/>
      <c r="QN1" s="201"/>
      <c r="QR1" s="201"/>
      <c r="QV1" s="201"/>
      <c r="QZ1" s="201"/>
      <c r="RD1" s="201"/>
      <c r="RH1" s="201"/>
      <c r="RL1" s="201"/>
      <c r="RP1" s="201"/>
      <c r="RT1" s="201"/>
      <c r="RX1" s="201"/>
      <c r="SB1" s="201"/>
      <c r="SF1" s="201"/>
      <c r="SJ1" s="201"/>
      <c r="SN1" s="201"/>
      <c r="SR1" s="201"/>
      <c r="SV1" s="201"/>
      <c r="SZ1" s="201"/>
      <c r="TD1" s="201"/>
      <c r="TH1" s="201"/>
      <c r="TL1" s="201"/>
      <c r="TP1" s="201"/>
      <c r="TT1" s="201"/>
      <c r="TX1" s="201"/>
      <c r="UB1" s="201"/>
      <c r="UF1" s="201"/>
      <c r="UJ1" s="201"/>
      <c r="UN1" s="201"/>
      <c r="UR1" s="201"/>
      <c r="UV1" s="201"/>
      <c r="UZ1" s="201"/>
      <c r="VD1" s="201"/>
      <c r="VH1" s="201"/>
      <c r="VL1" s="201"/>
      <c r="VP1" s="201"/>
      <c r="VT1" s="201"/>
      <c r="VX1" s="201"/>
      <c r="WB1" s="201"/>
      <c r="WF1" s="201"/>
      <c r="WJ1" s="201"/>
      <c r="WN1" s="201"/>
      <c r="WR1" s="201"/>
      <c r="WV1" s="201"/>
      <c r="WZ1" s="201"/>
      <c r="XD1" s="201"/>
      <c r="XH1" s="201"/>
      <c r="XL1" s="201"/>
      <c r="XP1" s="201"/>
      <c r="XT1" s="201"/>
      <c r="XX1" s="201"/>
      <c r="YB1" s="201"/>
      <c r="YF1" s="201"/>
      <c r="YJ1" s="201"/>
      <c r="YN1" s="201"/>
      <c r="YR1" s="201"/>
      <c r="YV1" s="201"/>
      <c r="YZ1" s="201"/>
      <c r="ZD1" s="201"/>
      <c r="ZH1" s="201"/>
      <c r="ZL1" s="201"/>
      <c r="ZP1" s="201"/>
      <c r="ZT1" s="201"/>
      <c r="ZX1" s="201"/>
      <c r="AAB1" s="201"/>
      <c r="AAF1" s="201"/>
      <c r="AAJ1" s="201"/>
      <c r="AAN1" s="201"/>
      <c r="AAR1" s="201"/>
      <c r="AAV1" s="201"/>
      <c r="AAZ1" s="201"/>
      <c r="ABD1" s="201"/>
      <c r="ABH1" s="201"/>
      <c r="ABL1" s="201"/>
      <c r="ABP1" s="201"/>
      <c r="ABT1" s="201"/>
      <c r="ABX1" s="201"/>
      <c r="ACB1" s="201"/>
      <c r="ACF1" s="201"/>
      <c r="ACJ1" s="201"/>
      <c r="ACN1" s="201"/>
      <c r="ACR1" s="201"/>
      <c r="ACV1" s="201"/>
      <c r="ACZ1" s="201"/>
      <c r="ADD1" s="201"/>
      <c r="ADH1" s="201"/>
      <c r="ADL1" s="201"/>
      <c r="ADP1" s="201"/>
      <c r="ADT1" s="201"/>
      <c r="ADX1" s="201"/>
      <c r="AEB1" s="201"/>
      <c r="AEF1" s="201"/>
      <c r="AEJ1" s="201"/>
      <c r="AEN1" s="201"/>
      <c r="AER1" s="201"/>
      <c r="AEV1" s="201"/>
      <c r="AEZ1" s="201"/>
      <c r="AFD1" s="201"/>
      <c r="AFH1" s="201"/>
      <c r="AFL1" s="201"/>
      <c r="AFP1" s="201"/>
      <c r="AFT1" s="201"/>
      <c r="AFX1" s="201"/>
      <c r="AGB1" s="201"/>
      <c r="AGF1" s="201"/>
      <c r="AGJ1" s="201"/>
      <c r="AGN1" s="201"/>
      <c r="AGR1" s="201"/>
      <c r="AGV1" s="201"/>
      <c r="AGZ1" s="201"/>
      <c r="AHD1" s="201"/>
      <c r="AHH1" s="201"/>
      <c r="AHL1" s="201"/>
      <c r="AHP1" s="201"/>
      <c r="AHT1" s="201"/>
      <c r="AHX1" s="201"/>
      <c r="AIB1" s="201"/>
      <c r="AIF1" s="201"/>
      <c r="AIJ1" s="201"/>
      <c r="AIN1" s="201"/>
      <c r="AIR1" s="201"/>
      <c r="AIV1" s="201"/>
      <c r="AIZ1" s="201"/>
      <c r="AJD1" s="201"/>
      <c r="AJH1" s="201"/>
      <c r="AJL1" s="201"/>
      <c r="AJP1" s="201"/>
      <c r="AJT1" s="201"/>
      <c r="AJX1" s="201"/>
      <c r="AKB1" s="201"/>
      <c r="AKF1" s="201"/>
      <c r="AKJ1" s="201"/>
      <c r="AKN1" s="201"/>
      <c r="AKR1" s="201"/>
      <c r="AKV1" s="201"/>
      <c r="AKZ1" s="201"/>
      <c r="ALD1" s="201"/>
      <c r="ALH1" s="201"/>
      <c r="ALL1" s="201"/>
      <c r="ALP1" s="201"/>
      <c r="ALT1" s="201"/>
      <c r="ALX1" s="201"/>
      <c r="AMB1" s="201"/>
      <c r="AMF1" s="201"/>
      <c r="AMJ1" s="201"/>
      <c r="AMN1" s="201"/>
      <c r="AMR1" s="201"/>
      <c r="AMV1" s="201"/>
      <c r="AMZ1" s="201"/>
      <c r="AND1" s="201"/>
      <c r="ANH1" s="201"/>
      <c r="ANL1" s="201"/>
      <c r="ANP1" s="201"/>
      <c r="ANT1" s="201"/>
      <c r="ANX1" s="201"/>
      <c r="AOB1" s="201"/>
      <c r="AOF1" s="201"/>
      <c r="AOJ1" s="201"/>
      <c r="AON1" s="201"/>
      <c r="AOR1" s="201"/>
      <c r="AOV1" s="201"/>
      <c r="AOZ1" s="201"/>
      <c r="APD1" s="201"/>
      <c r="APH1" s="201"/>
      <c r="APL1" s="201"/>
      <c r="APP1" s="201"/>
      <c r="APT1" s="201"/>
      <c r="APX1" s="201"/>
      <c r="AQB1" s="201"/>
      <c r="AQF1" s="201"/>
      <c r="AQJ1" s="201"/>
      <c r="AQN1" s="201"/>
      <c r="AQR1" s="201"/>
      <c r="AQV1" s="201"/>
      <c r="AQZ1" s="201"/>
      <c r="ARD1" s="201"/>
      <c r="ARH1" s="201"/>
      <c r="ARL1" s="201"/>
      <c r="ARP1" s="201"/>
      <c r="ART1" s="201"/>
      <c r="ARX1" s="201"/>
      <c r="ASB1" s="201"/>
      <c r="ASF1" s="201"/>
      <c r="ASJ1" s="201"/>
      <c r="ASN1" s="201"/>
      <c r="ASR1" s="201"/>
      <c r="ASV1" s="201"/>
      <c r="ASZ1" s="201"/>
      <c r="ATD1" s="201"/>
      <c r="ATH1" s="201"/>
      <c r="ATL1" s="201"/>
      <c r="ATP1" s="201"/>
      <c r="ATT1" s="201"/>
      <c r="ATX1" s="201"/>
      <c r="AUB1" s="201"/>
      <c r="AUF1" s="201"/>
      <c r="AUJ1" s="201"/>
      <c r="AUN1" s="201"/>
      <c r="AUR1" s="201"/>
      <c r="AUV1" s="201"/>
      <c r="AUZ1" s="201"/>
      <c r="AVD1" s="201"/>
      <c r="AVH1" s="201"/>
      <c r="AVL1" s="201"/>
      <c r="AVP1" s="201"/>
      <c r="AVT1" s="201"/>
      <c r="AVX1" s="201"/>
      <c r="AWB1" s="201"/>
      <c r="AWF1" s="201"/>
      <c r="AWJ1" s="201"/>
      <c r="AWN1" s="201"/>
      <c r="AWR1" s="201"/>
      <c r="AWV1" s="201"/>
      <c r="AWZ1" s="201"/>
      <c r="AXD1" s="201"/>
      <c r="AXH1" s="201"/>
      <c r="AXL1" s="201"/>
      <c r="AXP1" s="201"/>
      <c r="AXT1" s="201"/>
      <c r="AXX1" s="201"/>
      <c r="AYB1" s="201"/>
      <c r="AYF1" s="201"/>
      <c r="AYJ1" s="201"/>
      <c r="AYN1" s="201"/>
      <c r="AYR1" s="201"/>
      <c r="AYV1" s="201"/>
      <c r="AYZ1" s="201"/>
      <c r="AZD1" s="201"/>
      <c r="AZH1" s="201"/>
      <c r="AZL1" s="201"/>
      <c r="AZP1" s="201"/>
      <c r="AZT1" s="201"/>
      <c r="AZX1" s="201"/>
      <c r="BAB1" s="201"/>
      <c r="BAF1" s="201"/>
      <c r="BAJ1" s="201"/>
      <c r="BAN1" s="201"/>
      <c r="BAR1" s="201"/>
      <c r="BAV1" s="201"/>
      <c r="BAZ1" s="201"/>
      <c r="BBD1" s="201"/>
      <c r="BBH1" s="201"/>
      <c r="BBL1" s="201"/>
      <c r="BBP1" s="201"/>
      <c r="BBT1" s="201"/>
      <c r="BBX1" s="201"/>
      <c r="BCB1" s="201"/>
      <c r="BCF1" s="201"/>
      <c r="BCJ1" s="201"/>
      <c r="BCN1" s="201"/>
      <c r="BCR1" s="201"/>
      <c r="BCV1" s="201"/>
      <c r="BCZ1" s="201"/>
      <c r="BDD1" s="201"/>
      <c r="BDH1" s="201"/>
      <c r="BDL1" s="201"/>
      <c r="BDP1" s="201"/>
      <c r="BDT1" s="201"/>
      <c r="BDX1" s="201"/>
      <c r="BEB1" s="201"/>
      <c r="BEF1" s="201"/>
      <c r="BEJ1" s="201"/>
      <c r="BEN1" s="201"/>
      <c r="BER1" s="201"/>
      <c r="BEV1" s="201"/>
      <c r="BEZ1" s="201"/>
      <c r="BFD1" s="201"/>
      <c r="BFH1" s="201"/>
      <c r="BFL1" s="201"/>
      <c r="BFP1" s="201"/>
      <c r="BFT1" s="201"/>
      <c r="BFX1" s="201"/>
      <c r="BGB1" s="201"/>
      <c r="BGF1" s="201"/>
      <c r="BGJ1" s="201"/>
      <c r="BGN1" s="201"/>
      <c r="BGR1" s="201"/>
      <c r="BGV1" s="201"/>
      <c r="BGZ1" s="201"/>
      <c r="BHD1" s="201"/>
      <c r="BHH1" s="201"/>
      <c r="BHL1" s="201"/>
      <c r="BHP1" s="201"/>
      <c r="BHT1" s="201"/>
      <c r="BHX1" s="201"/>
      <c r="BIB1" s="201"/>
      <c r="BIF1" s="201"/>
      <c r="BIJ1" s="201"/>
      <c r="BIN1" s="201"/>
      <c r="BIR1" s="201"/>
      <c r="BIV1" s="201"/>
      <c r="BIZ1" s="201"/>
      <c r="BJD1" s="201"/>
      <c r="BJH1" s="201"/>
      <c r="BJL1" s="201"/>
      <c r="BJP1" s="201"/>
      <c r="BJT1" s="201"/>
      <c r="BJX1" s="201"/>
      <c r="BKB1" s="201"/>
      <c r="BKF1" s="201"/>
      <c r="BKJ1" s="201"/>
      <c r="BKN1" s="201"/>
      <c r="BKR1" s="201"/>
      <c r="BKV1" s="201"/>
      <c r="BKZ1" s="201"/>
      <c r="BLD1" s="201"/>
      <c r="BLH1" s="201"/>
      <c r="BLL1" s="201"/>
      <c r="BLP1" s="201"/>
      <c r="BLT1" s="201"/>
      <c r="BLX1" s="201"/>
      <c r="BMB1" s="201"/>
      <c r="BMF1" s="201"/>
      <c r="BMJ1" s="201"/>
      <c r="BMN1" s="201"/>
      <c r="BMR1" s="201"/>
      <c r="BMV1" s="201"/>
      <c r="BMZ1" s="201"/>
      <c r="BND1" s="201"/>
      <c r="BNH1" s="201"/>
      <c r="BNL1" s="201"/>
      <c r="BNP1" s="201"/>
      <c r="BNT1" s="201"/>
      <c r="BNX1" s="201"/>
      <c r="BOB1" s="201"/>
      <c r="BOF1" s="201"/>
      <c r="BOJ1" s="201"/>
      <c r="BON1" s="201"/>
      <c r="BOR1" s="201"/>
      <c r="BOV1" s="201"/>
      <c r="BOZ1" s="201"/>
      <c r="BPD1" s="201"/>
      <c r="BPH1" s="201"/>
      <c r="BPL1" s="201"/>
      <c r="BPP1" s="201"/>
      <c r="BPT1" s="201"/>
      <c r="BPX1" s="201"/>
      <c r="BQB1" s="201"/>
      <c r="BQF1" s="201"/>
      <c r="BQJ1" s="201"/>
      <c r="BQN1" s="201"/>
      <c r="BQR1" s="201"/>
      <c r="BQV1" s="201"/>
      <c r="BQZ1" s="201"/>
      <c r="BRD1" s="201"/>
      <c r="BRH1" s="201"/>
      <c r="BRL1" s="201"/>
      <c r="BRP1" s="201"/>
      <c r="BRT1" s="201"/>
      <c r="BRX1" s="201"/>
      <c r="BSB1" s="201"/>
      <c r="BSF1" s="201"/>
      <c r="BSJ1" s="201"/>
      <c r="BSN1" s="201"/>
      <c r="BSR1" s="201"/>
      <c r="BSV1" s="201"/>
      <c r="BSZ1" s="201"/>
      <c r="BTD1" s="201"/>
      <c r="BTH1" s="201"/>
      <c r="BTL1" s="201"/>
      <c r="BTP1" s="201"/>
      <c r="BTT1" s="201"/>
      <c r="BTX1" s="201"/>
      <c r="BUB1" s="201"/>
      <c r="BUF1" s="201"/>
      <c r="BUJ1" s="201"/>
      <c r="BUN1" s="201"/>
      <c r="BUR1" s="201"/>
      <c r="BUV1" s="201"/>
      <c r="BUZ1" s="201"/>
      <c r="BVD1" s="201"/>
      <c r="BVH1" s="201"/>
      <c r="BVL1" s="201"/>
      <c r="BVP1" s="201"/>
      <c r="BVT1" s="201"/>
      <c r="BVX1" s="201"/>
      <c r="BWB1" s="201"/>
      <c r="BWF1" s="201"/>
      <c r="BWJ1" s="201"/>
      <c r="BWN1" s="201"/>
      <c r="BWR1" s="201"/>
      <c r="BWV1" s="201"/>
      <c r="BWZ1" s="201"/>
      <c r="BXD1" s="201"/>
      <c r="BXH1" s="201"/>
      <c r="BXL1" s="201"/>
      <c r="BXP1" s="201"/>
      <c r="BXT1" s="201"/>
      <c r="BXX1" s="201"/>
      <c r="BYB1" s="201"/>
      <c r="BYF1" s="201"/>
      <c r="BYJ1" s="201"/>
      <c r="BYN1" s="201"/>
      <c r="BYR1" s="201"/>
      <c r="BYV1" s="201"/>
      <c r="BYZ1" s="201"/>
      <c r="BZD1" s="201"/>
      <c r="BZH1" s="201"/>
      <c r="BZL1" s="201"/>
      <c r="BZP1" s="201"/>
      <c r="BZT1" s="201"/>
      <c r="BZX1" s="201"/>
      <c r="CAB1" s="201"/>
      <c r="CAF1" s="201"/>
      <c r="CAJ1" s="201"/>
      <c r="CAN1" s="201"/>
      <c r="CAR1" s="201"/>
      <c r="CAV1" s="201"/>
      <c r="CAZ1" s="201"/>
      <c r="CBD1" s="201"/>
      <c r="CBH1" s="201"/>
      <c r="CBL1" s="201"/>
      <c r="CBP1" s="201"/>
      <c r="CBT1" s="201"/>
      <c r="CBX1" s="201"/>
      <c r="CCB1" s="201"/>
      <c r="CCF1" s="201"/>
      <c r="CCJ1" s="201"/>
      <c r="CCN1" s="201"/>
      <c r="CCR1" s="201"/>
      <c r="CCV1" s="201"/>
      <c r="CCZ1" s="201"/>
      <c r="CDD1" s="201"/>
      <c r="CDH1" s="201"/>
      <c r="CDL1" s="201"/>
      <c r="CDP1" s="201"/>
      <c r="CDT1" s="201"/>
      <c r="CDX1" s="201"/>
      <c r="CEB1" s="201"/>
      <c r="CEF1" s="201"/>
      <c r="CEJ1" s="201"/>
      <c r="CEN1" s="201"/>
      <c r="CER1" s="201"/>
      <c r="CEV1" s="201"/>
      <c r="CEZ1" s="201"/>
      <c r="CFD1" s="201"/>
      <c r="CFH1" s="201"/>
      <c r="CFL1" s="201"/>
      <c r="CFP1" s="201"/>
      <c r="CFT1" s="201"/>
      <c r="CFX1" s="201"/>
      <c r="CGB1" s="201"/>
      <c r="CGF1" s="201"/>
      <c r="CGJ1" s="201"/>
      <c r="CGN1" s="201"/>
      <c r="CGR1" s="201"/>
      <c r="CGV1" s="201"/>
      <c r="CGZ1" s="201"/>
      <c r="CHD1" s="201"/>
      <c r="CHH1" s="201"/>
      <c r="CHL1" s="201"/>
      <c r="CHP1" s="201"/>
      <c r="CHT1" s="201"/>
      <c r="CHX1" s="201"/>
      <c r="CIB1" s="201"/>
      <c r="CIF1" s="201"/>
      <c r="CIJ1" s="201"/>
      <c r="CIN1" s="201"/>
      <c r="CIR1" s="201"/>
      <c r="CIV1" s="201"/>
      <c r="CIZ1" s="201"/>
      <c r="CJD1" s="201"/>
      <c r="CJH1" s="201"/>
      <c r="CJL1" s="201"/>
      <c r="CJP1" s="201"/>
      <c r="CJT1" s="201"/>
      <c r="CJX1" s="201"/>
      <c r="CKB1" s="201"/>
      <c r="CKF1" s="201"/>
      <c r="CKJ1" s="201"/>
      <c r="CKN1" s="201"/>
      <c r="CKR1" s="201"/>
      <c r="CKV1" s="201"/>
      <c r="CKZ1" s="201"/>
      <c r="CLD1" s="201"/>
      <c r="CLH1" s="201"/>
      <c r="CLL1" s="201"/>
      <c r="CLP1" s="201"/>
      <c r="CLT1" s="201"/>
      <c r="CLX1" s="201"/>
      <c r="CMB1" s="201"/>
      <c r="CMF1" s="201"/>
      <c r="CMJ1" s="201"/>
      <c r="CMN1" s="201"/>
      <c r="CMR1" s="201"/>
      <c r="CMV1" s="201"/>
      <c r="CMZ1" s="201"/>
      <c r="CND1" s="201"/>
      <c r="CNH1" s="201"/>
      <c r="CNL1" s="201"/>
      <c r="CNP1" s="201"/>
      <c r="CNT1" s="201"/>
      <c r="CNX1" s="201"/>
      <c r="COB1" s="201"/>
      <c r="COF1" s="201"/>
      <c r="COJ1" s="201"/>
      <c r="CON1" s="201"/>
      <c r="COR1" s="201"/>
      <c r="COV1" s="201"/>
      <c r="COZ1" s="201"/>
      <c r="CPD1" s="201"/>
      <c r="CPH1" s="201"/>
      <c r="CPL1" s="201"/>
      <c r="CPP1" s="201"/>
      <c r="CPT1" s="201"/>
      <c r="CPX1" s="201"/>
      <c r="CQB1" s="201"/>
      <c r="CQF1" s="201"/>
      <c r="CQJ1" s="201"/>
      <c r="CQN1" s="201"/>
      <c r="CQR1" s="201"/>
      <c r="CQV1" s="201"/>
      <c r="CQZ1" s="201"/>
      <c r="CRD1" s="201"/>
      <c r="CRH1" s="201"/>
      <c r="CRL1" s="201"/>
      <c r="CRP1" s="201"/>
      <c r="CRT1" s="201"/>
      <c r="CRX1" s="201"/>
      <c r="CSB1" s="201"/>
      <c r="CSF1" s="201"/>
      <c r="CSJ1" s="201"/>
      <c r="CSN1" s="201"/>
      <c r="CSR1" s="201"/>
      <c r="CSV1" s="201"/>
      <c r="CSZ1" s="201"/>
      <c r="CTD1" s="201"/>
      <c r="CTH1" s="201"/>
      <c r="CTL1" s="201"/>
      <c r="CTP1" s="201"/>
      <c r="CTT1" s="201"/>
      <c r="CTX1" s="201"/>
      <c r="CUB1" s="201"/>
      <c r="CUF1" s="201"/>
      <c r="CUJ1" s="201"/>
      <c r="CUN1" s="201"/>
      <c r="CUR1" s="201"/>
      <c r="CUV1" s="201"/>
      <c r="CUZ1" s="201"/>
      <c r="CVD1" s="201"/>
      <c r="CVH1" s="201"/>
      <c r="CVL1" s="201"/>
      <c r="CVP1" s="201"/>
      <c r="CVT1" s="201"/>
      <c r="CVX1" s="201"/>
      <c r="CWB1" s="201"/>
      <c r="CWF1" s="201"/>
      <c r="CWJ1" s="201"/>
      <c r="CWN1" s="201"/>
      <c r="CWR1" s="201"/>
      <c r="CWV1" s="201"/>
      <c r="CWZ1" s="201"/>
      <c r="CXD1" s="201"/>
      <c r="CXH1" s="201"/>
      <c r="CXL1" s="201"/>
      <c r="CXP1" s="201"/>
      <c r="CXT1" s="201"/>
      <c r="CXX1" s="201"/>
      <c r="CYB1" s="201"/>
      <c r="CYF1" s="201"/>
      <c r="CYJ1" s="201"/>
      <c r="CYN1" s="201"/>
      <c r="CYR1" s="201"/>
      <c r="CYV1" s="201"/>
      <c r="CYZ1" s="201"/>
      <c r="CZD1" s="201"/>
      <c r="CZH1" s="201"/>
      <c r="CZL1" s="201"/>
      <c r="CZP1" s="201"/>
      <c r="CZT1" s="201"/>
      <c r="CZX1" s="201"/>
      <c r="DAB1" s="201"/>
      <c r="DAF1" s="201"/>
      <c r="DAJ1" s="201"/>
      <c r="DAN1" s="201"/>
      <c r="DAR1" s="201"/>
      <c r="DAV1" s="201"/>
      <c r="DAZ1" s="201"/>
      <c r="DBD1" s="201"/>
      <c r="DBH1" s="201"/>
      <c r="DBL1" s="201"/>
      <c r="DBP1" s="201"/>
      <c r="DBT1" s="201"/>
      <c r="DBX1" s="201"/>
      <c r="DCB1" s="201"/>
      <c r="DCF1" s="201"/>
      <c r="DCJ1" s="201"/>
      <c r="DCN1" s="201"/>
      <c r="DCR1" s="201"/>
      <c r="DCV1" s="201"/>
      <c r="DCZ1" s="201"/>
      <c r="DDD1" s="201"/>
      <c r="DDH1" s="201"/>
      <c r="DDL1" s="201"/>
      <c r="DDP1" s="201"/>
      <c r="DDT1" s="201"/>
      <c r="DDX1" s="201"/>
      <c r="DEB1" s="201"/>
      <c r="DEF1" s="201"/>
      <c r="DEJ1" s="201"/>
      <c r="DEN1" s="201"/>
      <c r="DER1" s="201"/>
      <c r="DEV1" s="201"/>
      <c r="DEZ1" s="201"/>
      <c r="DFD1" s="201"/>
      <c r="DFH1" s="201"/>
      <c r="DFL1" s="201"/>
      <c r="DFP1" s="201"/>
      <c r="DFT1" s="201"/>
      <c r="DFX1" s="201"/>
      <c r="DGB1" s="201"/>
      <c r="DGF1" s="201"/>
      <c r="DGJ1" s="201"/>
      <c r="DGN1" s="201"/>
      <c r="DGR1" s="201"/>
      <c r="DGV1" s="201"/>
      <c r="DGZ1" s="201"/>
      <c r="DHD1" s="201"/>
      <c r="DHH1" s="201"/>
      <c r="DHL1" s="201"/>
      <c r="DHP1" s="201"/>
      <c r="DHT1" s="201"/>
      <c r="DHX1" s="201"/>
      <c r="DIB1" s="201"/>
      <c r="DIF1" s="201"/>
      <c r="DIJ1" s="201"/>
      <c r="DIN1" s="201"/>
      <c r="DIR1" s="201"/>
      <c r="DIV1" s="201"/>
      <c r="DIZ1" s="201"/>
      <c r="DJD1" s="201"/>
      <c r="DJH1" s="201"/>
      <c r="DJL1" s="201"/>
      <c r="DJP1" s="201"/>
      <c r="DJT1" s="201"/>
      <c r="DJX1" s="201"/>
      <c r="DKB1" s="201"/>
      <c r="DKF1" s="201"/>
      <c r="DKJ1" s="201"/>
      <c r="DKN1" s="201"/>
      <c r="DKR1" s="201"/>
      <c r="DKV1" s="201"/>
      <c r="DKZ1" s="201"/>
      <c r="DLD1" s="201"/>
      <c r="DLH1" s="201"/>
      <c r="DLL1" s="201"/>
      <c r="DLP1" s="201"/>
      <c r="DLT1" s="201"/>
      <c r="DLX1" s="201"/>
      <c r="DMB1" s="201"/>
      <c r="DMF1" s="201"/>
      <c r="DMJ1" s="201"/>
      <c r="DMN1" s="201"/>
      <c r="DMR1" s="201"/>
      <c r="DMV1" s="201"/>
      <c r="DMZ1" s="201"/>
      <c r="DND1" s="201"/>
      <c r="DNH1" s="201"/>
      <c r="DNL1" s="201"/>
      <c r="DNP1" s="201"/>
      <c r="DNT1" s="201"/>
      <c r="DNX1" s="201"/>
      <c r="DOB1" s="201"/>
      <c r="DOF1" s="201"/>
      <c r="DOJ1" s="201"/>
      <c r="DON1" s="201"/>
      <c r="DOR1" s="201"/>
      <c r="DOV1" s="201"/>
      <c r="DOZ1" s="201"/>
      <c r="DPD1" s="201"/>
      <c r="DPH1" s="201"/>
      <c r="DPL1" s="201"/>
      <c r="DPP1" s="201"/>
      <c r="DPT1" s="201"/>
      <c r="DPX1" s="201"/>
      <c r="DQB1" s="201"/>
      <c r="DQF1" s="201"/>
      <c r="DQJ1" s="201"/>
      <c r="DQN1" s="201"/>
      <c r="DQR1" s="201"/>
      <c r="DQV1" s="201"/>
      <c r="DQZ1" s="201"/>
      <c r="DRD1" s="201"/>
      <c r="DRH1" s="201"/>
      <c r="DRL1" s="201"/>
      <c r="DRP1" s="201"/>
      <c r="DRT1" s="201"/>
      <c r="DRX1" s="201"/>
      <c r="DSB1" s="201"/>
      <c r="DSF1" s="201"/>
      <c r="DSJ1" s="201"/>
      <c r="DSN1" s="201"/>
      <c r="DSR1" s="201"/>
      <c r="DSV1" s="201"/>
      <c r="DSZ1" s="201"/>
      <c r="DTD1" s="201"/>
      <c r="DTH1" s="201"/>
      <c r="DTL1" s="201"/>
      <c r="DTP1" s="201"/>
      <c r="DTT1" s="201"/>
      <c r="DTX1" s="201"/>
      <c r="DUB1" s="201"/>
      <c r="DUF1" s="201"/>
      <c r="DUJ1" s="201"/>
      <c r="DUN1" s="201"/>
      <c r="DUR1" s="201"/>
      <c r="DUV1" s="201"/>
      <c r="DUZ1" s="201"/>
      <c r="DVD1" s="201"/>
      <c r="DVH1" s="201"/>
      <c r="DVL1" s="201"/>
      <c r="DVP1" s="201"/>
      <c r="DVT1" s="201"/>
      <c r="DVX1" s="201"/>
      <c r="DWB1" s="201"/>
      <c r="DWF1" s="201"/>
      <c r="DWJ1" s="201"/>
      <c r="DWN1" s="201"/>
      <c r="DWR1" s="201"/>
      <c r="DWV1" s="201"/>
      <c r="DWZ1" s="201"/>
      <c r="DXD1" s="201"/>
      <c r="DXH1" s="201"/>
      <c r="DXL1" s="201"/>
      <c r="DXP1" s="201"/>
      <c r="DXT1" s="201"/>
      <c r="DXX1" s="201"/>
      <c r="DYB1" s="201"/>
      <c r="DYF1" s="201"/>
      <c r="DYJ1" s="201"/>
      <c r="DYN1" s="201"/>
      <c r="DYR1" s="201"/>
      <c r="DYV1" s="201"/>
      <c r="DYZ1" s="201"/>
      <c r="DZD1" s="201"/>
      <c r="DZH1" s="201"/>
      <c r="DZL1" s="201"/>
      <c r="DZP1" s="201"/>
      <c r="DZT1" s="201"/>
      <c r="DZX1" s="201"/>
      <c r="EAB1" s="201"/>
      <c r="EAF1" s="201"/>
      <c r="EAJ1" s="201"/>
      <c r="EAN1" s="201"/>
      <c r="EAR1" s="201"/>
      <c r="EAV1" s="201"/>
      <c r="EAZ1" s="201"/>
      <c r="EBD1" s="201"/>
      <c r="EBH1" s="201"/>
      <c r="EBL1" s="201"/>
      <c r="EBP1" s="201"/>
      <c r="EBT1" s="201"/>
      <c r="EBX1" s="201"/>
      <c r="ECB1" s="201"/>
      <c r="ECF1" s="201"/>
      <c r="ECJ1" s="201"/>
      <c r="ECN1" s="201"/>
      <c r="ECR1" s="201"/>
      <c r="ECV1" s="201"/>
      <c r="ECZ1" s="201"/>
      <c r="EDD1" s="201"/>
      <c r="EDH1" s="201"/>
      <c r="EDL1" s="201"/>
      <c r="EDP1" s="201"/>
      <c r="EDT1" s="201"/>
      <c r="EDX1" s="201"/>
      <c r="EEB1" s="201"/>
      <c r="EEF1" s="201"/>
      <c r="EEJ1" s="201"/>
      <c r="EEN1" s="201"/>
      <c r="EER1" s="201"/>
      <c r="EEV1" s="201"/>
      <c r="EEZ1" s="201"/>
      <c r="EFD1" s="201"/>
      <c r="EFH1" s="201"/>
      <c r="EFL1" s="201"/>
      <c r="EFP1" s="201"/>
      <c r="EFT1" s="201"/>
      <c r="EFX1" s="201"/>
      <c r="EGB1" s="201"/>
      <c r="EGF1" s="201"/>
      <c r="EGJ1" s="201"/>
      <c r="EGN1" s="201"/>
      <c r="EGR1" s="201"/>
      <c r="EGV1" s="201"/>
      <c r="EGZ1" s="201"/>
      <c r="EHD1" s="201"/>
      <c r="EHH1" s="201"/>
      <c r="EHL1" s="201"/>
      <c r="EHP1" s="201"/>
      <c r="EHT1" s="201"/>
      <c r="EHX1" s="201"/>
      <c r="EIB1" s="201"/>
      <c r="EIF1" s="201"/>
      <c r="EIJ1" s="201"/>
      <c r="EIN1" s="201"/>
      <c r="EIR1" s="201"/>
      <c r="EIV1" s="201"/>
      <c r="EIZ1" s="201"/>
      <c r="EJD1" s="201"/>
      <c r="EJH1" s="201"/>
      <c r="EJL1" s="201"/>
      <c r="EJP1" s="201"/>
      <c r="EJT1" s="201"/>
      <c r="EJX1" s="201"/>
      <c r="EKB1" s="201"/>
      <c r="EKF1" s="201"/>
      <c r="EKJ1" s="201"/>
      <c r="EKN1" s="201"/>
      <c r="EKR1" s="201"/>
      <c r="EKV1" s="201"/>
      <c r="EKZ1" s="201"/>
      <c r="ELD1" s="201"/>
      <c r="ELH1" s="201"/>
      <c r="ELL1" s="201"/>
      <c r="ELP1" s="201"/>
      <c r="ELT1" s="201"/>
      <c r="ELX1" s="201"/>
      <c r="EMB1" s="201"/>
      <c r="EMF1" s="201"/>
      <c r="EMJ1" s="201"/>
      <c r="EMN1" s="201"/>
      <c r="EMR1" s="201"/>
      <c r="EMV1" s="201"/>
      <c r="EMZ1" s="201"/>
      <c r="END1" s="201"/>
      <c r="ENH1" s="201"/>
      <c r="ENL1" s="201"/>
      <c r="ENP1" s="201"/>
      <c r="ENT1" s="201"/>
      <c r="ENX1" s="201"/>
      <c r="EOB1" s="201"/>
      <c r="EOF1" s="201"/>
      <c r="EOJ1" s="201"/>
      <c r="EON1" s="201"/>
      <c r="EOR1" s="201"/>
      <c r="EOV1" s="201"/>
      <c r="EOZ1" s="201"/>
      <c r="EPD1" s="201"/>
      <c r="EPH1" s="201"/>
      <c r="EPL1" s="201"/>
      <c r="EPP1" s="201"/>
      <c r="EPT1" s="201"/>
      <c r="EPX1" s="201"/>
      <c r="EQB1" s="201"/>
      <c r="EQF1" s="201"/>
      <c r="EQJ1" s="201"/>
      <c r="EQN1" s="201"/>
      <c r="EQR1" s="201"/>
      <c r="EQV1" s="201"/>
      <c r="EQZ1" s="201"/>
      <c r="ERD1" s="201"/>
      <c r="ERH1" s="201"/>
      <c r="ERL1" s="201"/>
      <c r="ERP1" s="201"/>
      <c r="ERT1" s="201"/>
      <c r="ERX1" s="201"/>
      <c r="ESB1" s="201"/>
      <c r="ESF1" s="201"/>
      <c r="ESJ1" s="201"/>
      <c r="ESN1" s="201"/>
      <c r="ESR1" s="201"/>
      <c r="ESV1" s="201"/>
      <c r="ESZ1" s="201"/>
      <c r="ETD1" s="201"/>
      <c r="ETH1" s="201"/>
      <c r="ETL1" s="201"/>
      <c r="ETP1" s="201"/>
      <c r="ETT1" s="201"/>
      <c r="ETX1" s="201"/>
      <c r="EUB1" s="201"/>
      <c r="EUF1" s="201"/>
      <c r="EUJ1" s="201"/>
      <c r="EUN1" s="201"/>
      <c r="EUR1" s="201"/>
      <c r="EUV1" s="201"/>
      <c r="EUZ1" s="201"/>
      <c r="EVD1" s="201"/>
      <c r="EVH1" s="201"/>
      <c r="EVL1" s="201"/>
      <c r="EVP1" s="201"/>
      <c r="EVT1" s="201"/>
      <c r="EVX1" s="201"/>
      <c r="EWB1" s="201"/>
      <c r="EWF1" s="201"/>
      <c r="EWJ1" s="201"/>
      <c r="EWN1" s="201"/>
      <c r="EWR1" s="201"/>
      <c r="EWV1" s="201"/>
      <c r="EWZ1" s="201"/>
      <c r="EXD1" s="201"/>
      <c r="EXH1" s="201"/>
      <c r="EXL1" s="201"/>
      <c r="EXP1" s="201"/>
      <c r="EXT1" s="201"/>
      <c r="EXX1" s="201"/>
      <c r="EYB1" s="201"/>
      <c r="EYF1" s="201"/>
      <c r="EYJ1" s="201"/>
      <c r="EYN1" s="201"/>
      <c r="EYR1" s="201"/>
      <c r="EYV1" s="201"/>
      <c r="EYZ1" s="201"/>
      <c r="EZD1" s="201"/>
      <c r="EZH1" s="201"/>
      <c r="EZL1" s="201"/>
      <c r="EZP1" s="201"/>
      <c r="EZT1" s="201"/>
      <c r="EZX1" s="201"/>
      <c r="FAB1" s="201"/>
      <c r="FAF1" s="201"/>
      <c r="FAJ1" s="201"/>
      <c r="FAN1" s="201"/>
      <c r="FAR1" s="201"/>
      <c r="FAV1" s="201"/>
      <c r="FAZ1" s="201"/>
      <c r="FBD1" s="201"/>
      <c r="FBH1" s="201"/>
      <c r="FBL1" s="201"/>
      <c r="FBP1" s="201"/>
      <c r="FBT1" s="201"/>
      <c r="FBX1" s="201"/>
      <c r="FCB1" s="201"/>
      <c r="FCF1" s="201"/>
      <c r="FCJ1" s="201"/>
      <c r="FCN1" s="201"/>
      <c r="FCR1" s="201"/>
      <c r="FCV1" s="201"/>
      <c r="FCZ1" s="201"/>
      <c r="FDD1" s="201"/>
      <c r="FDH1" s="201"/>
      <c r="FDL1" s="201"/>
      <c r="FDP1" s="201"/>
      <c r="FDT1" s="201"/>
      <c r="FDX1" s="201"/>
      <c r="FEB1" s="201"/>
      <c r="FEF1" s="201"/>
      <c r="FEJ1" s="201"/>
      <c r="FEN1" s="201"/>
      <c r="FER1" s="201"/>
      <c r="FEV1" s="201"/>
      <c r="FEZ1" s="201"/>
      <c r="FFD1" s="201"/>
      <c r="FFH1" s="201"/>
      <c r="FFL1" s="201"/>
      <c r="FFP1" s="201"/>
      <c r="FFT1" s="201"/>
      <c r="FFX1" s="201"/>
      <c r="FGB1" s="201"/>
      <c r="FGF1" s="201"/>
      <c r="FGJ1" s="201"/>
      <c r="FGN1" s="201"/>
      <c r="FGR1" s="201"/>
      <c r="FGV1" s="201"/>
      <c r="FGZ1" s="201"/>
      <c r="FHD1" s="201"/>
      <c r="FHH1" s="201"/>
      <c r="FHL1" s="201"/>
      <c r="FHP1" s="201"/>
      <c r="FHT1" s="201"/>
      <c r="FHX1" s="201"/>
      <c r="FIB1" s="201"/>
      <c r="FIF1" s="201"/>
      <c r="FIJ1" s="201"/>
      <c r="FIN1" s="201"/>
      <c r="FIR1" s="201"/>
      <c r="FIV1" s="201"/>
      <c r="FIZ1" s="201"/>
      <c r="FJD1" s="201"/>
      <c r="FJH1" s="201"/>
      <c r="FJL1" s="201"/>
      <c r="FJP1" s="201"/>
      <c r="FJT1" s="201"/>
      <c r="FJX1" s="201"/>
      <c r="FKB1" s="201"/>
      <c r="FKF1" s="201"/>
      <c r="FKJ1" s="201"/>
      <c r="FKN1" s="201"/>
      <c r="FKR1" s="201"/>
      <c r="FKV1" s="201"/>
      <c r="FKZ1" s="201"/>
      <c r="FLD1" s="201"/>
      <c r="FLH1" s="201"/>
      <c r="FLL1" s="201"/>
      <c r="FLP1" s="201"/>
      <c r="FLT1" s="201"/>
      <c r="FLX1" s="201"/>
      <c r="FMB1" s="201"/>
      <c r="FMF1" s="201"/>
      <c r="FMJ1" s="201"/>
      <c r="FMN1" s="201"/>
      <c r="FMR1" s="201"/>
      <c r="FMV1" s="201"/>
      <c r="FMZ1" s="201"/>
      <c r="FND1" s="201"/>
      <c r="FNH1" s="201"/>
      <c r="FNL1" s="201"/>
      <c r="FNP1" s="201"/>
      <c r="FNT1" s="201"/>
      <c r="FNX1" s="201"/>
      <c r="FOB1" s="201"/>
      <c r="FOF1" s="201"/>
      <c r="FOJ1" s="201"/>
      <c r="FON1" s="201"/>
      <c r="FOR1" s="201"/>
      <c r="FOV1" s="201"/>
      <c r="FOZ1" s="201"/>
      <c r="FPD1" s="201"/>
      <c r="FPH1" s="201"/>
      <c r="FPL1" s="201"/>
      <c r="FPP1" s="201"/>
      <c r="FPT1" s="201"/>
      <c r="FPX1" s="201"/>
      <c r="FQB1" s="201"/>
      <c r="FQF1" s="201"/>
      <c r="FQJ1" s="201"/>
      <c r="FQN1" s="201"/>
      <c r="FQR1" s="201"/>
      <c r="FQV1" s="201"/>
      <c r="FQZ1" s="201"/>
      <c r="FRD1" s="201"/>
      <c r="FRH1" s="201"/>
      <c r="FRL1" s="201"/>
      <c r="FRP1" s="201"/>
      <c r="FRT1" s="201"/>
      <c r="FRX1" s="201"/>
      <c r="FSB1" s="201"/>
      <c r="FSF1" s="201"/>
      <c r="FSJ1" s="201"/>
      <c r="FSN1" s="201"/>
      <c r="FSR1" s="201"/>
      <c r="FSV1" s="201"/>
      <c r="FSZ1" s="201"/>
      <c r="FTD1" s="201"/>
      <c r="FTH1" s="201"/>
      <c r="FTL1" s="201"/>
      <c r="FTP1" s="201"/>
      <c r="FTT1" s="201"/>
      <c r="FTX1" s="201"/>
      <c r="FUB1" s="201"/>
      <c r="FUF1" s="201"/>
      <c r="FUJ1" s="201"/>
      <c r="FUN1" s="201"/>
      <c r="FUR1" s="201"/>
      <c r="FUV1" s="201"/>
      <c r="FUZ1" s="201"/>
      <c r="FVD1" s="201"/>
      <c r="FVH1" s="201"/>
      <c r="FVL1" s="201"/>
      <c r="FVP1" s="201"/>
      <c r="FVT1" s="201"/>
      <c r="FVX1" s="201"/>
      <c r="FWB1" s="201"/>
      <c r="FWF1" s="201"/>
      <c r="FWJ1" s="201"/>
      <c r="FWN1" s="201"/>
      <c r="FWR1" s="201"/>
      <c r="FWV1" s="201"/>
      <c r="FWZ1" s="201"/>
      <c r="FXD1" s="201"/>
      <c r="FXH1" s="201"/>
      <c r="FXL1" s="201"/>
      <c r="FXP1" s="201"/>
      <c r="FXT1" s="201"/>
      <c r="FXX1" s="201"/>
      <c r="FYB1" s="201"/>
      <c r="FYF1" s="201"/>
      <c r="FYJ1" s="201"/>
      <c r="FYN1" s="201"/>
      <c r="FYR1" s="201"/>
      <c r="FYV1" s="201"/>
      <c r="FYZ1" s="201"/>
      <c r="FZD1" s="201"/>
      <c r="FZH1" s="201"/>
      <c r="FZL1" s="201"/>
      <c r="FZP1" s="201"/>
      <c r="FZT1" s="201"/>
      <c r="FZX1" s="201"/>
      <c r="GAB1" s="201"/>
      <c r="GAF1" s="201"/>
      <c r="GAJ1" s="201"/>
      <c r="GAN1" s="201"/>
      <c r="GAR1" s="201"/>
      <c r="GAV1" s="201"/>
      <c r="GAZ1" s="201"/>
      <c r="GBD1" s="201"/>
      <c r="GBH1" s="201"/>
      <c r="GBL1" s="201"/>
      <c r="GBP1" s="201"/>
      <c r="GBT1" s="201"/>
      <c r="GBX1" s="201"/>
      <c r="GCB1" s="201"/>
      <c r="GCF1" s="201"/>
      <c r="GCJ1" s="201"/>
      <c r="GCN1" s="201"/>
      <c r="GCR1" s="201"/>
      <c r="GCV1" s="201"/>
      <c r="GCZ1" s="201"/>
      <c r="GDD1" s="201"/>
      <c r="GDH1" s="201"/>
      <c r="GDL1" s="201"/>
      <c r="GDP1" s="201"/>
      <c r="GDT1" s="201"/>
      <c r="GDX1" s="201"/>
      <c r="GEB1" s="201"/>
      <c r="GEF1" s="201"/>
      <c r="GEJ1" s="201"/>
      <c r="GEN1" s="201"/>
      <c r="GER1" s="201"/>
      <c r="GEV1" s="201"/>
      <c r="GEZ1" s="201"/>
      <c r="GFD1" s="201"/>
      <c r="GFH1" s="201"/>
      <c r="GFL1" s="201"/>
      <c r="GFP1" s="201"/>
      <c r="GFT1" s="201"/>
      <c r="GFX1" s="201"/>
      <c r="GGB1" s="201"/>
      <c r="GGF1" s="201"/>
      <c r="GGJ1" s="201"/>
      <c r="GGN1" s="201"/>
      <c r="GGR1" s="201"/>
      <c r="GGV1" s="201"/>
      <c r="GGZ1" s="201"/>
      <c r="GHD1" s="201"/>
      <c r="GHH1" s="201"/>
      <c r="GHL1" s="201"/>
      <c r="GHP1" s="201"/>
      <c r="GHT1" s="201"/>
      <c r="GHX1" s="201"/>
      <c r="GIB1" s="201"/>
      <c r="GIF1" s="201"/>
      <c r="GIJ1" s="201"/>
      <c r="GIN1" s="201"/>
      <c r="GIR1" s="201"/>
      <c r="GIV1" s="201"/>
      <c r="GIZ1" s="201"/>
      <c r="GJD1" s="201"/>
      <c r="GJH1" s="201"/>
      <c r="GJL1" s="201"/>
      <c r="GJP1" s="201"/>
      <c r="GJT1" s="201"/>
      <c r="GJX1" s="201"/>
      <c r="GKB1" s="201"/>
      <c r="GKF1" s="201"/>
      <c r="GKJ1" s="201"/>
      <c r="GKN1" s="201"/>
      <c r="GKR1" s="201"/>
      <c r="GKV1" s="201"/>
      <c r="GKZ1" s="201"/>
      <c r="GLD1" s="201"/>
      <c r="GLH1" s="201"/>
      <c r="GLL1" s="201"/>
      <c r="GLP1" s="201"/>
      <c r="GLT1" s="201"/>
      <c r="GLX1" s="201"/>
      <c r="GMB1" s="201"/>
      <c r="GMF1" s="201"/>
      <c r="GMJ1" s="201"/>
      <c r="GMN1" s="201"/>
      <c r="GMR1" s="201"/>
      <c r="GMV1" s="201"/>
      <c r="GMZ1" s="201"/>
      <c r="GND1" s="201"/>
      <c r="GNH1" s="201"/>
      <c r="GNL1" s="201"/>
      <c r="GNP1" s="201"/>
      <c r="GNT1" s="201"/>
      <c r="GNX1" s="201"/>
      <c r="GOB1" s="201"/>
      <c r="GOF1" s="201"/>
      <c r="GOJ1" s="201"/>
      <c r="GON1" s="201"/>
      <c r="GOR1" s="201"/>
      <c r="GOV1" s="201"/>
      <c r="GOZ1" s="201"/>
      <c r="GPD1" s="201"/>
      <c r="GPH1" s="201"/>
      <c r="GPL1" s="201"/>
      <c r="GPP1" s="201"/>
      <c r="GPT1" s="201"/>
      <c r="GPX1" s="201"/>
      <c r="GQB1" s="201"/>
      <c r="GQF1" s="201"/>
      <c r="GQJ1" s="201"/>
      <c r="GQN1" s="201"/>
      <c r="GQR1" s="201"/>
      <c r="GQV1" s="201"/>
      <c r="GQZ1" s="201"/>
      <c r="GRD1" s="201"/>
      <c r="GRH1" s="201"/>
      <c r="GRL1" s="201"/>
      <c r="GRP1" s="201"/>
      <c r="GRT1" s="201"/>
      <c r="GRX1" s="201"/>
      <c r="GSB1" s="201"/>
      <c r="GSF1" s="201"/>
      <c r="GSJ1" s="201"/>
      <c r="GSN1" s="201"/>
      <c r="GSR1" s="201"/>
      <c r="GSV1" s="201"/>
      <c r="GSZ1" s="201"/>
      <c r="GTD1" s="201"/>
      <c r="GTH1" s="201"/>
      <c r="GTL1" s="201"/>
      <c r="GTP1" s="201"/>
      <c r="GTT1" s="201"/>
      <c r="GTX1" s="201"/>
      <c r="GUB1" s="201"/>
      <c r="GUF1" s="201"/>
      <c r="GUJ1" s="201"/>
      <c r="GUN1" s="201"/>
      <c r="GUR1" s="201"/>
      <c r="GUV1" s="201"/>
      <c r="GUZ1" s="201"/>
      <c r="GVD1" s="201"/>
      <c r="GVH1" s="201"/>
      <c r="GVL1" s="201"/>
      <c r="GVP1" s="201"/>
      <c r="GVT1" s="201"/>
      <c r="GVX1" s="201"/>
      <c r="GWB1" s="201"/>
      <c r="GWF1" s="201"/>
      <c r="GWJ1" s="201"/>
      <c r="GWN1" s="201"/>
      <c r="GWR1" s="201"/>
      <c r="GWV1" s="201"/>
      <c r="GWZ1" s="201"/>
      <c r="GXD1" s="201"/>
      <c r="GXH1" s="201"/>
      <c r="GXL1" s="201"/>
      <c r="GXP1" s="201"/>
      <c r="GXT1" s="201"/>
      <c r="GXX1" s="201"/>
      <c r="GYB1" s="201"/>
      <c r="GYF1" s="201"/>
      <c r="GYJ1" s="201"/>
      <c r="GYN1" s="201"/>
      <c r="GYR1" s="201"/>
      <c r="GYV1" s="201"/>
      <c r="GYZ1" s="201"/>
      <c r="GZD1" s="201"/>
      <c r="GZH1" s="201"/>
      <c r="GZL1" s="201"/>
      <c r="GZP1" s="201"/>
      <c r="GZT1" s="201"/>
      <c r="GZX1" s="201"/>
      <c r="HAB1" s="201"/>
      <c r="HAF1" s="201"/>
      <c r="HAJ1" s="201"/>
      <c r="HAN1" s="201"/>
      <c r="HAR1" s="201"/>
      <c r="HAV1" s="201"/>
      <c r="HAZ1" s="201"/>
      <c r="HBD1" s="201"/>
      <c r="HBH1" s="201"/>
      <c r="HBL1" s="201"/>
      <c r="HBP1" s="201"/>
      <c r="HBT1" s="201"/>
      <c r="HBX1" s="201"/>
      <c r="HCB1" s="201"/>
      <c r="HCF1" s="201"/>
      <c r="HCJ1" s="201"/>
      <c r="HCN1" s="201"/>
      <c r="HCR1" s="201"/>
      <c r="HCV1" s="201"/>
      <c r="HCZ1" s="201"/>
      <c r="HDD1" s="201"/>
      <c r="HDH1" s="201"/>
      <c r="HDL1" s="201"/>
      <c r="HDP1" s="201"/>
      <c r="HDT1" s="201"/>
      <c r="HDX1" s="201"/>
      <c r="HEB1" s="201"/>
      <c r="HEF1" s="201"/>
      <c r="HEJ1" s="201"/>
      <c r="HEN1" s="201"/>
      <c r="HER1" s="201"/>
      <c r="HEV1" s="201"/>
      <c r="HEZ1" s="201"/>
      <c r="HFD1" s="201"/>
      <c r="HFH1" s="201"/>
      <c r="HFL1" s="201"/>
      <c r="HFP1" s="201"/>
      <c r="HFT1" s="201"/>
      <c r="HFX1" s="201"/>
      <c r="HGB1" s="201"/>
      <c r="HGF1" s="201"/>
      <c r="HGJ1" s="201"/>
      <c r="HGN1" s="201"/>
      <c r="HGR1" s="201"/>
      <c r="HGV1" s="201"/>
      <c r="HGZ1" s="201"/>
      <c r="HHD1" s="201"/>
      <c r="HHH1" s="201"/>
      <c r="HHL1" s="201"/>
      <c r="HHP1" s="201"/>
      <c r="HHT1" s="201"/>
      <c r="HHX1" s="201"/>
      <c r="HIB1" s="201"/>
      <c r="HIF1" s="201"/>
      <c r="HIJ1" s="201"/>
      <c r="HIN1" s="201"/>
      <c r="HIR1" s="201"/>
      <c r="HIV1" s="201"/>
      <c r="HIZ1" s="201"/>
      <c r="HJD1" s="201"/>
      <c r="HJH1" s="201"/>
      <c r="HJL1" s="201"/>
      <c r="HJP1" s="201"/>
      <c r="HJT1" s="201"/>
      <c r="HJX1" s="201"/>
      <c r="HKB1" s="201"/>
      <c r="HKF1" s="201"/>
      <c r="HKJ1" s="201"/>
      <c r="HKN1" s="201"/>
      <c r="HKR1" s="201"/>
      <c r="HKV1" s="201"/>
      <c r="HKZ1" s="201"/>
      <c r="HLD1" s="201"/>
      <c r="HLH1" s="201"/>
      <c r="HLL1" s="201"/>
      <c r="HLP1" s="201"/>
      <c r="HLT1" s="201"/>
      <c r="HLX1" s="201"/>
      <c r="HMB1" s="201"/>
      <c r="HMF1" s="201"/>
      <c r="HMJ1" s="201"/>
      <c r="HMN1" s="201"/>
      <c r="HMR1" s="201"/>
      <c r="HMV1" s="201"/>
      <c r="HMZ1" s="201"/>
      <c r="HND1" s="201"/>
      <c r="HNH1" s="201"/>
      <c r="HNL1" s="201"/>
      <c r="HNP1" s="201"/>
      <c r="HNT1" s="201"/>
      <c r="HNX1" s="201"/>
      <c r="HOB1" s="201"/>
      <c r="HOF1" s="201"/>
      <c r="HOJ1" s="201"/>
      <c r="HON1" s="201"/>
      <c r="HOR1" s="201"/>
      <c r="HOV1" s="201"/>
      <c r="HOZ1" s="201"/>
      <c r="HPD1" s="201"/>
      <c r="HPH1" s="201"/>
      <c r="HPL1" s="201"/>
      <c r="HPP1" s="201"/>
      <c r="HPT1" s="201"/>
      <c r="HPX1" s="201"/>
      <c r="HQB1" s="201"/>
      <c r="HQF1" s="201"/>
      <c r="HQJ1" s="201"/>
      <c r="HQN1" s="201"/>
      <c r="HQR1" s="201"/>
      <c r="HQV1" s="201"/>
      <c r="HQZ1" s="201"/>
      <c r="HRD1" s="201"/>
      <c r="HRH1" s="201"/>
      <c r="HRL1" s="201"/>
      <c r="HRP1" s="201"/>
      <c r="HRT1" s="201"/>
      <c r="HRX1" s="201"/>
      <c r="HSB1" s="201"/>
      <c r="HSF1" s="201"/>
      <c r="HSJ1" s="201"/>
      <c r="HSN1" s="201"/>
      <c r="HSR1" s="201"/>
      <c r="HSV1" s="201"/>
      <c r="HSZ1" s="201"/>
      <c r="HTD1" s="201"/>
      <c r="HTH1" s="201"/>
      <c r="HTL1" s="201"/>
      <c r="HTP1" s="201"/>
      <c r="HTT1" s="201"/>
      <c r="HTX1" s="201"/>
      <c r="HUB1" s="201"/>
      <c r="HUF1" s="201"/>
      <c r="HUJ1" s="201"/>
      <c r="HUN1" s="201"/>
      <c r="HUR1" s="201"/>
      <c r="HUV1" s="201"/>
      <c r="HUZ1" s="201"/>
      <c r="HVD1" s="201"/>
      <c r="HVH1" s="201"/>
      <c r="HVL1" s="201"/>
      <c r="HVP1" s="201"/>
      <c r="HVT1" s="201"/>
      <c r="HVX1" s="201"/>
      <c r="HWB1" s="201"/>
      <c r="HWF1" s="201"/>
      <c r="HWJ1" s="201"/>
      <c r="HWN1" s="201"/>
      <c r="HWR1" s="201"/>
      <c r="HWV1" s="201"/>
      <c r="HWZ1" s="201"/>
      <c r="HXD1" s="201"/>
      <c r="HXH1" s="201"/>
      <c r="HXL1" s="201"/>
      <c r="HXP1" s="201"/>
      <c r="HXT1" s="201"/>
      <c r="HXX1" s="201"/>
      <c r="HYB1" s="201"/>
      <c r="HYF1" s="201"/>
      <c r="HYJ1" s="201"/>
      <c r="HYN1" s="201"/>
      <c r="HYR1" s="201"/>
      <c r="HYV1" s="201"/>
      <c r="HYZ1" s="201"/>
      <c r="HZD1" s="201"/>
      <c r="HZH1" s="201"/>
      <c r="HZL1" s="201"/>
      <c r="HZP1" s="201"/>
      <c r="HZT1" s="201"/>
      <c r="HZX1" s="201"/>
      <c r="IAB1" s="201"/>
      <c r="IAF1" s="201"/>
      <c r="IAJ1" s="201"/>
      <c r="IAN1" s="201"/>
      <c r="IAR1" s="201"/>
      <c r="IAV1" s="201"/>
      <c r="IAZ1" s="201"/>
      <c r="IBD1" s="201"/>
      <c r="IBH1" s="201"/>
      <c r="IBL1" s="201"/>
      <c r="IBP1" s="201"/>
      <c r="IBT1" s="201"/>
      <c r="IBX1" s="201"/>
      <c r="ICB1" s="201"/>
      <c r="ICF1" s="201"/>
      <c r="ICJ1" s="201"/>
      <c r="ICN1" s="201"/>
      <c r="ICR1" s="201"/>
      <c r="ICV1" s="201"/>
      <c r="ICZ1" s="201"/>
      <c r="IDD1" s="201"/>
      <c r="IDH1" s="201"/>
      <c r="IDL1" s="201"/>
      <c r="IDP1" s="201"/>
      <c r="IDT1" s="201"/>
      <c r="IDX1" s="201"/>
      <c r="IEB1" s="201"/>
      <c r="IEF1" s="201"/>
      <c r="IEJ1" s="201"/>
      <c r="IEN1" s="201"/>
      <c r="IER1" s="201"/>
      <c r="IEV1" s="201"/>
      <c r="IEZ1" s="201"/>
      <c r="IFD1" s="201"/>
      <c r="IFH1" s="201"/>
      <c r="IFL1" s="201"/>
      <c r="IFP1" s="201"/>
      <c r="IFT1" s="201"/>
      <c r="IFX1" s="201"/>
      <c r="IGB1" s="201"/>
      <c r="IGF1" s="201"/>
      <c r="IGJ1" s="201"/>
      <c r="IGN1" s="201"/>
      <c r="IGR1" s="201"/>
      <c r="IGV1" s="201"/>
      <c r="IGZ1" s="201"/>
      <c r="IHD1" s="201"/>
      <c r="IHH1" s="201"/>
      <c r="IHL1" s="201"/>
      <c r="IHP1" s="201"/>
      <c r="IHT1" s="201"/>
      <c r="IHX1" s="201"/>
      <c r="IIB1" s="201"/>
      <c r="IIF1" s="201"/>
      <c r="IIJ1" s="201"/>
      <c r="IIN1" s="201"/>
      <c r="IIR1" s="201"/>
      <c r="IIV1" s="201"/>
      <c r="IIZ1" s="201"/>
      <c r="IJD1" s="201"/>
      <c r="IJH1" s="201"/>
      <c r="IJL1" s="201"/>
      <c r="IJP1" s="201"/>
      <c r="IJT1" s="201"/>
      <c r="IJX1" s="201"/>
      <c r="IKB1" s="201"/>
      <c r="IKF1" s="201"/>
      <c r="IKJ1" s="201"/>
      <c r="IKN1" s="201"/>
      <c r="IKR1" s="201"/>
      <c r="IKV1" s="201"/>
      <c r="IKZ1" s="201"/>
      <c r="ILD1" s="201"/>
      <c r="ILH1" s="201"/>
      <c r="ILL1" s="201"/>
      <c r="ILP1" s="201"/>
      <c r="ILT1" s="201"/>
      <c r="ILX1" s="201"/>
      <c r="IMB1" s="201"/>
      <c r="IMF1" s="201"/>
      <c r="IMJ1" s="201"/>
      <c r="IMN1" s="201"/>
      <c r="IMR1" s="201"/>
      <c r="IMV1" s="201"/>
      <c r="IMZ1" s="201"/>
      <c r="IND1" s="201"/>
      <c r="INH1" s="201"/>
      <c r="INL1" s="201"/>
      <c r="INP1" s="201"/>
      <c r="INT1" s="201"/>
      <c r="INX1" s="201"/>
      <c r="IOB1" s="201"/>
      <c r="IOF1" s="201"/>
      <c r="IOJ1" s="201"/>
      <c r="ION1" s="201"/>
      <c r="IOR1" s="201"/>
      <c r="IOV1" s="201"/>
      <c r="IOZ1" s="201"/>
      <c r="IPD1" s="201"/>
      <c r="IPH1" s="201"/>
      <c r="IPL1" s="201"/>
      <c r="IPP1" s="201"/>
      <c r="IPT1" s="201"/>
      <c r="IPX1" s="201"/>
      <c r="IQB1" s="201"/>
      <c r="IQF1" s="201"/>
      <c r="IQJ1" s="201"/>
      <c r="IQN1" s="201"/>
      <c r="IQR1" s="201"/>
      <c r="IQV1" s="201"/>
      <c r="IQZ1" s="201"/>
      <c r="IRD1" s="201"/>
      <c r="IRH1" s="201"/>
      <c r="IRL1" s="201"/>
      <c r="IRP1" s="201"/>
      <c r="IRT1" s="201"/>
      <c r="IRX1" s="201"/>
      <c r="ISB1" s="201"/>
      <c r="ISF1" s="201"/>
      <c r="ISJ1" s="201"/>
      <c r="ISN1" s="201"/>
      <c r="ISR1" s="201"/>
      <c r="ISV1" s="201"/>
      <c r="ISZ1" s="201"/>
      <c r="ITD1" s="201"/>
      <c r="ITH1" s="201"/>
      <c r="ITL1" s="201"/>
      <c r="ITP1" s="201"/>
      <c r="ITT1" s="201"/>
      <c r="ITX1" s="201"/>
      <c r="IUB1" s="201"/>
      <c r="IUF1" s="201"/>
      <c r="IUJ1" s="201"/>
      <c r="IUN1" s="201"/>
      <c r="IUR1" s="201"/>
      <c r="IUV1" s="201"/>
      <c r="IUZ1" s="201"/>
      <c r="IVD1" s="201"/>
      <c r="IVH1" s="201"/>
      <c r="IVL1" s="201"/>
      <c r="IVP1" s="201"/>
      <c r="IVT1" s="201"/>
      <c r="IVX1" s="201"/>
      <c r="IWB1" s="201"/>
      <c r="IWF1" s="201"/>
      <c r="IWJ1" s="201"/>
      <c r="IWN1" s="201"/>
      <c r="IWR1" s="201"/>
      <c r="IWV1" s="201"/>
      <c r="IWZ1" s="201"/>
      <c r="IXD1" s="201"/>
      <c r="IXH1" s="201"/>
      <c r="IXL1" s="201"/>
      <c r="IXP1" s="201"/>
      <c r="IXT1" s="201"/>
      <c r="IXX1" s="201"/>
      <c r="IYB1" s="201"/>
      <c r="IYF1" s="201"/>
      <c r="IYJ1" s="201"/>
      <c r="IYN1" s="201"/>
      <c r="IYR1" s="201"/>
      <c r="IYV1" s="201"/>
      <c r="IYZ1" s="201"/>
      <c r="IZD1" s="201"/>
      <c r="IZH1" s="201"/>
      <c r="IZL1" s="201"/>
      <c r="IZP1" s="201"/>
      <c r="IZT1" s="201"/>
      <c r="IZX1" s="201"/>
      <c r="JAB1" s="201"/>
      <c r="JAF1" s="201"/>
      <c r="JAJ1" s="201"/>
      <c r="JAN1" s="201"/>
      <c r="JAR1" s="201"/>
      <c r="JAV1" s="201"/>
      <c r="JAZ1" s="201"/>
      <c r="JBD1" s="201"/>
      <c r="JBH1" s="201"/>
      <c r="JBL1" s="201"/>
      <c r="JBP1" s="201"/>
      <c r="JBT1" s="201"/>
      <c r="JBX1" s="201"/>
      <c r="JCB1" s="201"/>
      <c r="JCF1" s="201"/>
      <c r="JCJ1" s="201"/>
      <c r="JCN1" s="201"/>
      <c r="JCR1" s="201"/>
      <c r="JCV1" s="201"/>
      <c r="JCZ1" s="201"/>
      <c r="JDD1" s="201"/>
      <c r="JDH1" s="201"/>
      <c r="JDL1" s="201"/>
      <c r="JDP1" s="201"/>
      <c r="JDT1" s="201"/>
      <c r="JDX1" s="201"/>
      <c r="JEB1" s="201"/>
      <c r="JEF1" s="201"/>
      <c r="JEJ1" s="201"/>
      <c r="JEN1" s="201"/>
      <c r="JER1" s="201"/>
      <c r="JEV1" s="201"/>
      <c r="JEZ1" s="201"/>
      <c r="JFD1" s="201"/>
      <c r="JFH1" s="201"/>
      <c r="JFL1" s="201"/>
      <c r="JFP1" s="201"/>
      <c r="JFT1" s="201"/>
      <c r="JFX1" s="201"/>
      <c r="JGB1" s="201"/>
      <c r="JGF1" s="201"/>
      <c r="JGJ1" s="201"/>
      <c r="JGN1" s="201"/>
      <c r="JGR1" s="201"/>
      <c r="JGV1" s="201"/>
      <c r="JGZ1" s="201"/>
      <c r="JHD1" s="201"/>
      <c r="JHH1" s="201"/>
      <c r="JHL1" s="201"/>
      <c r="JHP1" s="201"/>
      <c r="JHT1" s="201"/>
      <c r="JHX1" s="201"/>
      <c r="JIB1" s="201"/>
      <c r="JIF1" s="201"/>
      <c r="JIJ1" s="201"/>
      <c r="JIN1" s="201"/>
      <c r="JIR1" s="201"/>
      <c r="JIV1" s="201"/>
      <c r="JIZ1" s="201"/>
      <c r="JJD1" s="201"/>
      <c r="JJH1" s="201"/>
      <c r="JJL1" s="201"/>
      <c r="JJP1" s="201"/>
      <c r="JJT1" s="201"/>
      <c r="JJX1" s="201"/>
      <c r="JKB1" s="201"/>
      <c r="JKF1" s="201"/>
      <c r="JKJ1" s="201"/>
      <c r="JKN1" s="201"/>
      <c r="JKR1" s="201"/>
      <c r="JKV1" s="201"/>
      <c r="JKZ1" s="201"/>
      <c r="JLD1" s="201"/>
      <c r="JLH1" s="201"/>
      <c r="JLL1" s="201"/>
      <c r="JLP1" s="201"/>
      <c r="JLT1" s="201"/>
      <c r="JLX1" s="201"/>
      <c r="JMB1" s="201"/>
      <c r="JMF1" s="201"/>
      <c r="JMJ1" s="201"/>
      <c r="JMN1" s="201"/>
      <c r="JMR1" s="201"/>
      <c r="JMV1" s="201"/>
      <c r="JMZ1" s="201"/>
      <c r="JND1" s="201"/>
      <c r="JNH1" s="201"/>
      <c r="JNL1" s="201"/>
      <c r="JNP1" s="201"/>
      <c r="JNT1" s="201"/>
      <c r="JNX1" s="201"/>
      <c r="JOB1" s="201"/>
      <c r="JOF1" s="201"/>
      <c r="JOJ1" s="201"/>
      <c r="JON1" s="201"/>
      <c r="JOR1" s="201"/>
      <c r="JOV1" s="201"/>
      <c r="JOZ1" s="201"/>
      <c r="JPD1" s="201"/>
      <c r="JPH1" s="201"/>
      <c r="JPL1" s="201"/>
      <c r="JPP1" s="201"/>
      <c r="JPT1" s="201"/>
      <c r="JPX1" s="201"/>
      <c r="JQB1" s="201"/>
      <c r="JQF1" s="201"/>
      <c r="JQJ1" s="201"/>
      <c r="JQN1" s="201"/>
      <c r="JQR1" s="201"/>
      <c r="JQV1" s="201"/>
      <c r="JQZ1" s="201"/>
      <c r="JRD1" s="201"/>
      <c r="JRH1" s="201"/>
      <c r="JRL1" s="201"/>
      <c r="JRP1" s="201"/>
      <c r="JRT1" s="201"/>
      <c r="JRX1" s="201"/>
      <c r="JSB1" s="201"/>
      <c r="JSF1" s="201"/>
      <c r="JSJ1" s="201"/>
      <c r="JSN1" s="201"/>
      <c r="JSR1" s="201"/>
      <c r="JSV1" s="201"/>
      <c r="JSZ1" s="201"/>
      <c r="JTD1" s="201"/>
      <c r="JTH1" s="201"/>
      <c r="JTL1" s="201"/>
      <c r="JTP1" s="201"/>
      <c r="JTT1" s="201"/>
      <c r="JTX1" s="201"/>
      <c r="JUB1" s="201"/>
      <c r="JUF1" s="201"/>
      <c r="JUJ1" s="201"/>
      <c r="JUN1" s="201"/>
      <c r="JUR1" s="201"/>
      <c r="JUV1" s="201"/>
      <c r="JUZ1" s="201"/>
      <c r="JVD1" s="201"/>
      <c r="JVH1" s="201"/>
      <c r="JVL1" s="201"/>
      <c r="JVP1" s="201"/>
      <c r="JVT1" s="201"/>
      <c r="JVX1" s="201"/>
      <c r="JWB1" s="201"/>
      <c r="JWF1" s="201"/>
      <c r="JWJ1" s="201"/>
      <c r="JWN1" s="201"/>
      <c r="JWR1" s="201"/>
      <c r="JWV1" s="201"/>
      <c r="JWZ1" s="201"/>
      <c r="JXD1" s="201"/>
      <c r="JXH1" s="201"/>
      <c r="JXL1" s="201"/>
      <c r="JXP1" s="201"/>
      <c r="JXT1" s="201"/>
      <c r="JXX1" s="201"/>
      <c r="JYB1" s="201"/>
      <c r="JYF1" s="201"/>
      <c r="JYJ1" s="201"/>
      <c r="JYN1" s="201"/>
      <c r="JYR1" s="201"/>
      <c r="JYV1" s="201"/>
      <c r="JYZ1" s="201"/>
      <c r="JZD1" s="201"/>
      <c r="JZH1" s="201"/>
      <c r="JZL1" s="201"/>
      <c r="JZP1" s="201"/>
      <c r="JZT1" s="201"/>
      <c r="JZX1" s="201"/>
      <c r="KAB1" s="201"/>
      <c r="KAF1" s="201"/>
      <c r="KAJ1" s="201"/>
      <c r="KAN1" s="201"/>
      <c r="KAR1" s="201"/>
      <c r="KAV1" s="201"/>
      <c r="KAZ1" s="201"/>
      <c r="KBD1" s="201"/>
      <c r="KBH1" s="201"/>
      <c r="KBL1" s="201"/>
      <c r="KBP1" s="201"/>
      <c r="KBT1" s="201"/>
      <c r="KBX1" s="201"/>
      <c r="KCB1" s="201"/>
      <c r="KCF1" s="201"/>
      <c r="KCJ1" s="201"/>
      <c r="KCN1" s="201"/>
      <c r="KCR1" s="201"/>
      <c r="KCV1" s="201"/>
      <c r="KCZ1" s="201"/>
      <c r="KDD1" s="201"/>
      <c r="KDH1" s="201"/>
      <c r="KDL1" s="201"/>
      <c r="KDP1" s="201"/>
      <c r="KDT1" s="201"/>
      <c r="KDX1" s="201"/>
      <c r="KEB1" s="201"/>
      <c r="KEF1" s="201"/>
      <c r="KEJ1" s="201"/>
      <c r="KEN1" s="201"/>
      <c r="KER1" s="201"/>
      <c r="KEV1" s="201"/>
      <c r="KEZ1" s="201"/>
      <c r="KFD1" s="201"/>
      <c r="KFH1" s="201"/>
      <c r="KFL1" s="201"/>
      <c r="KFP1" s="201"/>
      <c r="KFT1" s="201"/>
      <c r="KFX1" s="201"/>
      <c r="KGB1" s="201"/>
      <c r="KGF1" s="201"/>
      <c r="KGJ1" s="201"/>
      <c r="KGN1" s="201"/>
      <c r="KGR1" s="201"/>
      <c r="KGV1" s="201"/>
      <c r="KGZ1" s="201"/>
      <c r="KHD1" s="201"/>
      <c r="KHH1" s="201"/>
      <c r="KHL1" s="201"/>
      <c r="KHP1" s="201"/>
      <c r="KHT1" s="201"/>
      <c r="KHX1" s="201"/>
      <c r="KIB1" s="201"/>
      <c r="KIF1" s="201"/>
      <c r="KIJ1" s="201"/>
      <c r="KIN1" s="201"/>
      <c r="KIR1" s="201"/>
      <c r="KIV1" s="201"/>
      <c r="KIZ1" s="201"/>
      <c r="KJD1" s="201"/>
      <c r="KJH1" s="201"/>
      <c r="KJL1" s="201"/>
      <c r="KJP1" s="201"/>
      <c r="KJT1" s="201"/>
      <c r="KJX1" s="201"/>
      <c r="KKB1" s="201"/>
      <c r="KKF1" s="201"/>
      <c r="KKJ1" s="201"/>
      <c r="KKN1" s="201"/>
      <c r="KKR1" s="201"/>
      <c r="KKV1" s="201"/>
      <c r="KKZ1" s="201"/>
      <c r="KLD1" s="201"/>
      <c r="KLH1" s="201"/>
      <c r="KLL1" s="201"/>
      <c r="KLP1" s="201"/>
      <c r="KLT1" s="201"/>
      <c r="KLX1" s="201"/>
      <c r="KMB1" s="201"/>
      <c r="KMF1" s="201"/>
      <c r="KMJ1" s="201"/>
      <c r="KMN1" s="201"/>
      <c r="KMR1" s="201"/>
      <c r="KMV1" s="201"/>
      <c r="KMZ1" s="201"/>
      <c r="KND1" s="201"/>
      <c r="KNH1" s="201"/>
      <c r="KNL1" s="201"/>
      <c r="KNP1" s="201"/>
      <c r="KNT1" s="201"/>
      <c r="KNX1" s="201"/>
      <c r="KOB1" s="201"/>
      <c r="KOF1" s="201"/>
      <c r="KOJ1" s="201"/>
      <c r="KON1" s="201"/>
      <c r="KOR1" s="201"/>
      <c r="KOV1" s="201"/>
      <c r="KOZ1" s="201"/>
      <c r="KPD1" s="201"/>
      <c r="KPH1" s="201"/>
      <c r="KPL1" s="201"/>
      <c r="KPP1" s="201"/>
      <c r="KPT1" s="201"/>
      <c r="KPX1" s="201"/>
      <c r="KQB1" s="201"/>
      <c r="KQF1" s="201"/>
      <c r="KQJ1" s="201"/>
      <c r="KQN1" s="201"/>
      <c r="KQR1" s="201"/>
      <c r="KQV1" s="201"/>
      <c r="KQZ1" s="201"/>
      <c r="KRD1" s="201"/>
      <c r="KRH1" s="201"/>
      <c r="KRL1" s="201"/>
      <c r="KRP1" s="201"/>
      <c r="KRT1" s="201"/>
      <c r="KRX1" s="201"/>
      <c r="KSB1" s="201"/>
      <c r="KSF1" s="201"/>
      <c r="KSJ1" s="201"/>
      <c r="KSN1" s="201"/>
      <c r="KSR1" s="201"/>
      <c r="KSV1" s="201"/>
      <c r="KSZ1" s="201"/>
      <c r="KTD1" s="201"/>
      <c r="KTH1" s="201"/>
      <c r="KTL1" s="201"/>
      <c r="KTP1" s="201"/>
      <c r="KTT1" s="201"/>
      <c r="KTX1" s="201"/>
      <c r="KUB1" s="201"/>
      <c r="KUF1" s="201"/>
      <c r="KUJ1" s="201"/>
      <c r="KUN1" s="201"/>
      <c r="KUR1" s="201"/>
      <c r="KUV1" s="201"/>
      <c r="KUZ1" s="201"/>
      <c r="KVD1" s="201"/>
      <c r="KVH1" s="201"/>
      <c r="KVL1" s="201"/>
      <c r="KVP1" s="201"/>
      <c r="KVT1" s="201"/>
      <c r="KVX1" s="201"/>
      <c r="KWB1" s="201"/>
      <c r="KWF1" s="201"/>
      <c r="KWJ1" s="201"/>
      <c r="KWN1" s="201"/>
      <c r="KWR1" s="201"/>
      <c r="KWV1" s="201"/>
      <c r="KWZ1" s="201"/>
      <c r="KXD1" s="201"/>
      <c r="KXH1" s="201"/>
      <c r="KXL1" s="201"/>
      <c r="KXP1" s="201"/>
      <c r="KXT1" s="201"/>
      <c r="KXX1" s="201"/>
      <c r="KYB1" s="201"/>
      <c r="KYF1" s="201"/>
      <c r="KYJ1" s="201"/>
      <c r="KYN1" s="201"/>
      <c r="KYR1" s="201"/>
      <c r="KYV1" s="201"/>
      <c r="KYZ1" s="201"/>
      <c r="KZD1" s="201"/>
      <c r="KZH1" s="201"/>
      <c r="KZL1" s="201"/>
      <c r="KZP1" s="201"/>
      <c r="KZT1" s="201"/>
      <c r="KZX1" s="201"/>
      <c r="LAB1" s="201"/>
      <c r="LAF1" s="201"/>
      <c r="LAJ1" s="201"/>
      <c r="LAN1" s="201"/>
      <c r="LAR1" s="201"/>
      <c r="LAV1" s="201"/>
      <c r="LAZ1" s="201"/>
      <c r="LBD1" s="201"/>
      <c r="LBH1" s="201"/>
      <c r="LBL1" s="201"/>
      <c r="LBP1" s="201"/>
      <c r="LBT1" s="201"/>
      <c r="LBX1" s="201"/>
      <c r="LCB1" s="201"/>
      <c r="LCF1" s="201"/>
      <c r="LCJ1" s="201"/>
      <c r="LCN1" s="201"/>
      <c r="LCR1" s="201"/>
      <c r="LCV1" s="201"/>
      <c r="LCZ1" s="201"/>
      <c r="LDD1" s="201"/>
      <c r="LDH1" s="201"/>
      <c r="LDL1" s="201"/>
      <c r="LDP1" s="201"/>
      <c r="LDT1" s="201"/>
      <c r="LDX1" s="201"/>
      <c r="LEB1" s="201"/>
      <c r="LEF1" s="201"/>
      <c r="LEJ1" s="201"/>
      <c r="LEN1" s="201"/>
      <c r="LER1" s="201"/>
      <c r="LEV1" s="201"/>
      <c r="LEZ1" s="201"/>
      <c r="LFD1" s="201"/>
      <c r="LFH1" s="201"/>
      <c r="LFL1" s="201"/>
      <c r="LFP1" s="201"/>
      <c r="LFT1" s="201"/>
      <c r="LFX1" s="201"/>
      <c r="LGB1" s="201"/>
      <c r="LGF1" s="201"/>
      <c r="LGJ1" s="201"/>
      <c r="LGN1" s="201"/>
      <c r="LGR1" s="201"/>
      <c r="LGV1" s="201"/>
      <c r="LGZ1" s="201"/>
      <c r="LHD1" s="201"/>
      <c r="LHH1" s="201"/>
      <c r="LHL1" s="201"/>
      <c r="LHP1" s="201"/>
      <c r="LHT1" s="201"/>
      <c r="LHX1" s="201"/>
      <c r="LIB1" s="201"/>
      <c r="LIF1" s="201"/>
      <c r="LIJ1" s="201"/>
      <c r="LIN1" s="201"/>
      <c r="LIR1" s="201"/>
      <c r="LIV1" s="201"/>
      <c r="LIZ1" s="201"/>
      <c r="LJD1" s="201"/>
      <c r="LJH1" s="201"/>
      <c r="LJL1" s="201"/>
      <c r="LJP1" s="201"/>
      <c r="LJT1" s="201"/>
      <c r="LJX1" s="201"/>
      <c r="LKB1" s="201"/>
      <c r="LKF1" s="201"/>
      <c r="LKJ1" s="201"/>
      <c r="LKN1" s="201"/>
      <c r="LKR1" s="201"/>
      <c r="LKV1" s="201"/>
      <c r="LKZ1" s="201"/>
      <c r="LLD1" s="201"/>
      <c r="LLH1" s="201"/>
      <c r="LLL1" s="201"/>
      <c r="LLP1" s="201"/>
      <c r="LLT1" s="201"/>
      <c r="LLX1" s="201"/>
      <c r="LMB1" s="201"/>
      <c r="LMF1" s="201"/>
      <c r="LMJ1" s="201"/>
      <c r="LMN1" s="201"/>
      <c r="LMR1" s="201"/>
      <c r="LMV1" s="201"/>
      <c r="LMZ1" s="201"/>
      <c r="LND1" s="201"/>
      <c r="LNH1" s="201"/>
      <c r="LNL1" s="201"/>
      <c r="LNP1" s="201"/>
      <c r="LNT1" s="201"/>
      <c r="LNX1" s="201"/>
      <c r="LOB1" s="201"/>
      <c r="LOF1" s="201"/>
      <c r="LOJ1" s="201"/>
      <c r="LON1" s="201"/>
      <c r="LOR1" s="201"/>
      <c r="LOV1" s="201"/>
      <c r="LOZ1" s="201"/>
      <c r="LPD1" s="201"/>
      <c r="LPH1" s="201"/>
      <c r="LPL1" s="201"/>
      <c r="LPP1" s="201"/>
      <c r="LPT1" s="201"/>
      <c r="LPX1" s="201"/>
      <c r="LQB1" s="201"/>
      <c r="LQF1" s="201"/>
      <c r="LQJ1" s="201"/>
      <c r="LQN1" s="201"/>
      <c r="LQR1" s="201"/>
      <c r="LQV1" s="201"/>
      <c r="LQZ1" s="201"/>
      <c r="LRD1" s="201"/>
      <c r="LRH1" s="201"/>
      <c r="LRL1" s="201"/>
      <c r="LRP1" s="201"/>
      <c r="LRT1" s="201"/>
      <c r="LRX1" s="201"/>
      <c r="LSB1" s="201"/>
      <c r="LSF1" s="201"/>
      <c r="LSJ1" s="201"/>
      <c r="LSN1" s="201"/>
      <c r="LSR1" s="201"/>
      <c r="LSV1" s="201"/>
      <c r="LSZ1" s="201"/>
      <c r="LTD1" s="201"/>
      <c r="LTH1" s="201"/>
      <c r="LTL1" s="201"/>
      <c r="LTP1" s="201"/>
      <c r="LTT1" s="201"/>
      <c r="LTX1" s="201"/>
      <c r="LUB1" s="201"/>
      <c r="LUF1" s="201"/>
      <c r="LUJ1" s="201"/>
      <c r="LUN1" s="201"/>
      <c r="LUR1" s="201"/>
      <c r="LUV1" s="201"/>
      <c r="LUZ1" s="201"/>
      <c r="LVD1" s="201"/>
      <c r="LVH1" s="201"/>
      <c r="LVL1" s="201"/>
      <c r="LVP1" s="201"/>
      <c r="LVT1" s="201"/>
      <c r="LVX1" s="201"/>
      <c r="LWB1" s="201"/>
      <c r="LWF1" s="201"/>
      <c r="LWJ1" s="201"/>
      <c r="LWN1" s="201"/>
      <c r="LWR1" s="201"/>
      <c r="LWV1" s="201"/>
      <c r="LWZ1" s="201"/>
      <c r="LXD1" s="201"/>
      <c r="LXH1" s="201"/>
      <c r="LXL1" s="201"/>
      <c r="LXP1" s="201"/>
      <c r="LXT1" s="201"/>
      <c r="LXX1" s="201"/>
      <c r="LYB1" s="201"/>
      <c r="LYF1" s="201"/>
      <c r="LYJ1" s="201"/>
      <c r="LYN1" s="201"/>
      <c r="LYR1" s="201"/>
      <c r="LYV1" s="201"/>
      <c r="LYZ1" s="201"/>
      <c r="LZD1" s="201"/>
      <c r="LZH1" s="201"/>
      <c r="LZL1" s="201"/>
      <c r="LZP1" s="201"/>
      <c r="LZT1" s="201"/>
      <c r="LZX1" s="201"/>
      <c r="MAB1" s="201"/>
      <c r="MAF1" s="201"/>
      <c r="MAJ1" s="201"/>
      <c r="MAN1" s="201"/>
      <c r="MAR1" s="201"/>
      <c r="MAV1" s="201"/>
      <c r="MAZ1" s="201"/>
      <c r="MBD1" s="201"/>
      <c r="MBH1" s="201"/>
      <c r="MBL1" s="201"/>
      <c r="MBP1" s="201"/>
      <c r="MBT1" s="201"/>
      <c r="MBX1" s="201"/>
      <c r="MCB1" s="201"/>
      <c r="MCF1" s="201"/>
      <c r="MCJ1" s="201"/>
      <c r="MCN1" s="201"/>
      <c r="MCR1" s="201"/>
      <c r="MCV1" s="201"/>
      <c r="MCZ1" s="201"/>
      <c r="MDD1" s="201"/>
      <c r="MDH1" s="201"/>
      <c r="MDL1" s="201"/>
      <c r="MDP1" s="201"/>
      <c r="MDT1" s="201"/>
      <c r="MDX1" s="201"/>
      <c r="MEB1" s="201"/>
      <c r="MEF1" s="201"/>
      <c r="MEJ1" s="201"/>
      <c r="MEN1" s="201"/>
      <c r="MER1" s="201"/>
      <c r="MEV1" s="201"/>
      <c r="MEZ1" s="201"/>
      <c r="MFD1" s="201"/>
      <c r="MFH1" s="201"/>
      <c r="MFL1" s="201"/>
      <c r="MFP1" s="201"/>
      <c r="MFT1" s="201"/>
      <c r="MFX1" s="201"/>
      <c r="MGB1" s="201"/>
      <c r="MGF1" s="201"/>
      <c r="MGJ1" s="201"/>
      <c r="MGN1" s="201"/>
      <c r="MGR1" s="201"/>
      <c r="MGV1" s="201"/>
      <c r="MGZ1" s="201"/>
      <c r="MHD1" s="201"/>
      <c r="MHH1" s="201"/>
      <c r="MHL1" s="201"/>
      <c r="MHP1" s="201"/>
      <c r="MHT1" s="201"/>
      <c r="MHX1" s="201"/>
      <c r="MIB1" s="201"/>
      <c r="MIF1" s="201"/>
      <c r="MIJ1" s="201"/>
      <c r="MIN1" s="201"/>
      <c r="MIR1" s="201"/>
      <c r="MIV1" s="201"/>
      <c r="MIZ1" s="201"/>
      <c r="MJD1" s="201"/>
      <c r="MJH1" s="201"/>
      <c r="MJL1" s="201"/>
      <c r="MJP1" s="201"/>
      <c r="MJT1" s="201"/>
      <c r="MJX1" s="201"/>
      <c r="MKB1" s="201"/>
      <c r="MKF1" s="201"/>
      <c r="MKJ1" s="201"/>
      <c r="MKN1" s="201"/>
      <c r="MKR1" s="201"/>
      <c r="MKV1" s="201"/>
      <c r="MKZ1" s="201"/>
      <c r="MLD1" s="201"/>
      <c r="MLH1" s="201"/>
      <c r="MLL1" s="201"/>
      <c r="MLP1" s="201"/>
      <c r="MLT1" s="201"/>
      <c r="MLX1" s="201"/>
      <c r="MMB1" s="201"/>
      <c r="MMF1" s="201"/>
      <c r="MMJ1" s="201"/>
      <c r="MMN1" s="201"/>
      <c r="MMR1" s="201"/>
      <c r="MMV1" s="201"/>
      <c r="MMZ1" s="201"/>
      <c r="MND1" s="201"/>
      <c r="MNH1" s="201"/>
      <c r="MNL1" s="201"/>
      <c r="MNP1" s="201"/>
      <c r="MNT1" s="201"/>
      <c r="MNX1" s="201"/>
      <c r="MOB1" s="201"/>
      <c r="MOF1" s="201"/>
      <c r="MOJ1" s="201"/>
      <c r="MON1" s="201"/>
      <c r="MOR1" s="201"/>
      <c r="MOV1" s="201"/>
      <c r="MOZ1" s="201"/>
      <c r="MPD1" s="201"/>
      <c r="MPH1" s="201"/>
      <c r="MPL1" s="201"/>
      <c r="MPP1" s="201"/>
      <c r="MPT1" s="201"/>
      <c r="MPX1" s="201"/>
      <c r="MQB1" s="201"/>
      <c r="MQF1" s="201"/>
      <c r="MQJ1" s="201"/>
      <c r="MQN1" s="201"/>
      <c r="MQR1" s="201"/>
      <c r="MQV1" s="201"/>
      <c r="MQZ1" s="201"/>
      <c r="MRD1" s="201"/>
      <c r="MRH1" s="201"/>
      <c r="MRL1" s="201"/>
      <c r="MRP1" s="201"/>
      <c r="MRT1" s="201"/>
      <c r="MRX1" s="201"/>
      <c r="MSB1" s="201"/>
      <c r="MSF1" s="201"/>
      <c r="MSJ1" s="201"/>
      <c r="MSN1" s="201"/>
      <c r="MSR1" s="201"/>
      <c r="MSV1" s="201"/>
      <c r="MSZ1" s="201"/>
      <c r="MTD1" s="201"/>
      <c r="MTH1" s="201"/>
      <c r="MTL1" s="201"/>
      <c r="MTP1" s="201"/>
      <c r="MTT1" s="201"/>
      <c r="MTX1" s="201"/>
      <c r="MUB1" s="201"/>
      <c r="MUF1" s="201"/>
      <c r="MUJ1" s="201"/>
      <c r="MUN1" s="201"/>
      <c r="MUR1" s="201"/>
      <c r="MUV1" s="201"/>
      <c r="MUZ1" s="201"/>
      <c r="MVD1" s="201"/>
      <c r="MVH1" s="201"/>
      <c r="MVL1" s="201"/>
      <c r="MVP1" s="201"/>
      <c r="MVT1" s="201"/>
      <c r="MVX1" s="201"/>
      <c r="MWB1" s="201"/>
      <c r="MWF1" s="201"/>
      <c r="MWJ1" s="201"/>
      <c r="MWN1" s="201"/>
      <c r="MWR1" s="201"/>
      <c r="MWV1" s="201"/>
      <c r="MWZ1" s="201"/>
      <c r="MXD1" s="201"/>
      <c r="MXH1" s="201"/>
      <c r="MXL1" s="201"/>
      <c r="MXP1" s="201"/>
      <c r="MXT1" s="201"/>
      <c r="MXX1" s="201"/>
      <c r="MYB1" s="201"/>
      <c r="MYF1" s="201"/>
      <c r="MYJ1" s="201"/>
      <c r="MYN1" s="201"/>
      <c r="MYR1" s="201"/>
      <c r="MYV1" s="201"/>
      <c r="MYZ1" s="201"/>
      <c r="MZD1" s="201"/>
      <c r="MZH1" s="201"/>
      <c r="MZL1" s="201"/>
      <c r="MZP1" s="201"/>
      <c r="MZT1" s="201"/>
      <c r="MZX1" s="201"/>
      <c r="NAB1" s="201"/>
      <c r="NAF1" s="201"/>
      <c r="NAJ1" s="201"/>
      <c r="NAN1" s="201"/>
      <c r="NAR1" s="201"/>
      <c r="NAV1" s="201"/>
      <c r="NAZ1" s="201"/>
      <c r="NBD1" s="201"/>
      <c r="NBH1" s="201"/>
      <c r="NBL1" s="201"/>
      <c r="NBP1" s="201"/>
      <c r="NBT1" s="201"/>
      <c r="NBX1" s="201"/>
      <c r="NCB1" s="201"/>
      <c r="NCF1" s="201"/>
      <c r="NCJ1" s="201"/>
      <c r="NCN1" s="201"/>
      <c r="NCR1" s="201"/>
      <c r="NCV1" s="201"/>
      <c r="NCZ1" s="201"/>
      <c r="NDD1" s="201"/>
      <c r="NDH1" s="201"/>
      <c r="NDL1" s="201"/>
      <c r="NDP1" s="201"/>
      <c r="NDT1" s="201"/>
      <c r="NDX1" s="201"/>
      <c r="NEB1" s="201"/>
      <c r="NEF1" s="201"/>
      <c r="NEJ1" s="201"/>
      <c r="NEN1" s="201"/>
      <c r="NER1" s="201"/>
      <c r="NEV1" s="201"/>
      <c r="NEZ1" s="201"/>
      <c r="NFD1" s="201"/>
      <c r="NFH1" s="201"/>
      <c r="NFL1" s="201"/>
      <c r="NFP1" s="201"/>
      <c r="NFT1" s="201"/>
      <c r="NFX1" s="201"/>
      <c r="NGB1" s="201"/>
      <c r="NGF1" s="201"/>
      <c r="NGJ1" s="201"/>
      <c r="NGN1" s="201"/>
      <c r="NGR1" s="201"/>
      <c r="NGV1" s="201"/>
      <c r="NGZ1" s="201"/>
      <c r="NHD1" s="201"/>
      <c r="NHH1" s="201"/>
      <c r="NHL1" s="201"/>
      <c r="NHP1" s="201"/>
      <c r="NHT1" s="201"/>
      <c r="NHX1" s="201"/>
      <c r="NIB1" s="201"/>
      <c r="NIF1" s="201"/>
      <c r="NIJ1" s="201"/>
      <c r="NIN1" s="201"/>
      <c r="NIR1" s="201"/>
      <c r="NIV1" s="201"/>
      <c r="NIZ1" s="201"/>
      <c r="NJD1" s="201"/>
      <c r="NJH1" s="201"/>
      <c r="NJL1" s="201"/>
      <c r="NJP1" s="201"/>
      <c r="NJT1" s="201"/>
      <c r="NJX1" s="201"/>
      <c r="NKB1" s="201"/>
      <c r="NKF1" s="201"/>
      <c r="NKJ1" s="201"/>
      <c r="NKN1" s="201"/>
      <c r="NKR1" s="201"/>
      <c r="NKV1" s="201"/>
      <c r="NKZ1" s="201"/>
      <c r="NLD1" s="201"/>
      <c r="NLH1" s="201"/>
      <c r="NLL1" s="201"/>
      <c r="NLP1" s="201"/>
      <c r="NLT1" s="201"/>
      <c r="NLX1" s="201"/>
      <c r="NMB1" s="201"/>
      <c r="NMF1" s="201"/>
      <c r="NMJ1" s="201"/>
      <c r="NMN1" s="201"/>
      <c r="NMR1" s="201"/>
      <c r="NMV1" s="201"/>
      <c r="NMZ1" s="201"/>
      <c r="NND1" s="201"/>
      <c r="NNH1" s="201"/>
      <c r="NNL1" s="201"/>
      <c r="NNP1" s="201"/>
      <c r="NNT1" s="201"/>
      <c r="NNX1" s="201"/>
      <c r="NOB1" s="201"/>
      <c r="NOF1" s="201"/>
      <c r="NOJ1" s="201"/>
      <c r="NON1" s="201"/>
      <c r="NOR1" s="201"/>
      <c r="NOV1" s="201"/>
      <c r="NOZ1" s="201"/>
      <c r="NPD1" s="201"/>
      <c r="NPH1" s="201"/>
      <c r="NPL1" s="201"/>
      <c r="NPP1" s="201"/>
      <c r="NPT1" s="201"/>
      <c r="NPX1" s="201"/>
      <c r="NQB1" s="201"/>
      <c r="NQF1" s="201"/>
      <c r="NQJ1" s="201"/>
      <c r="NQN1" s="201"/>
      <c r="NQR1" s="201"/>
      <c r="NQV1" s="201"/>
      <c r="NQZ1" s="201"/>
      <c r="NRD1" s="201"/>
      <c r="NRH1" s="201"/>
      <c r="NRL1" s="201"/>
      <c r="NRP1" s="201"/>
      <c r="NRT1" s="201"/>
      <c r="NRX1" s="201"/>
      <c r="NSB1" s="201"/>
      <c r="NSF1" s="201"/>
      <c r="NSJ1" s="201"/>
      <c r="NSN1" s="201"/>
      <c r="NSR1" s="201"/>
      <c r="NSV1" s="201"/>
      <c r="NSZ1" s="201"/>
      <c r="NTD1" s="201"/>
      <c r="NTH1" s="201"/>
      <c r="NTL1" s="201"/>
      <c r="NTP1" s="201"/>
      <c r="NTT1" s="201"/>
      <c r="NTX1" s="201"/>
      <c r="NUB1" s="201"/>
      <c r="NUF1" s="201"/>
      <c r="NUJ1" s="201"/>
      <c r="NUN1" s="201"/>
      <c r="NUR1" s="201"/>
      <c r="NUV1" s="201"/>
      <c r="NUZ1" s="201"/>
      <c r="NVD1" s="201"/>
      <c r="NVH1" s="201"/>
      <c r="NVL1" s="201"/>
      <c r="NVP1" s="201"/>
      <c r="NVT1" s="201"/>
      <c r="NVX1" s="201"/>
      <c r="NWB1" s="201"/>
      <c r="NWF1" s="201"/>
      <c r="NWJ1" s="201"/>
      <c r="NWN1" s="201"/>
      <c r="NWR1" s="201"/>
      <c r="NWV1" s="201"/>
      <c r="NWZ1" s="201"/>
      <c r="NXD1" s="201"/>
      <c r="NXH1" s="201"/>
      <c r="NXL1" s="201"/>
      <c r="NXP1" s="201"/>
      <c r="NXT1" s="201"/>
      <c r="NXX1" s="201"/>
      <c r="NYB1" s="201"/>
      <c r="NYF1" s="201"/>
      <c r="NYJ1" s="201"/>
      <c r="NYN1" s="201"/>
      <c r="NYR1" s="201"/>
      <c r="NYV1" s="201"/>
      <c r="NYZ1" s="201"/>
      <c r="NZD1" s="201"/>
      <c r="NZH1" s="201"/>
      <c r="NZL1" s="201"/>
      <c r="NZP1" s="201"/>
      <c r="NZT1" s="201"/>
      <c r="NZX1" s="201"/>
      <c r="OAB1" s="201"/>
      <c r="OAF1" s="201"/>
      <c r="OAJ1" s="201"/>
      <c r="OAN1" s="201"/>
      <c r="OAR1" s="201"/>
      <c r="OAV1" s="201"/>
      <c r="OAZ1" s="201"/>
      <c r="OBD1" s="201"/>
      <c r="OBH1" s="201"/>
      <c r="OBL1" s="201"/>
      <c r="OBP1" s="201"/>
      <c r="OBT1" s="201"/>
      <c r="OBX1" s="201"/>
      <c r="OCB1" s="201"/>
      <c r="OCF1" s="201"/>
      <c r="OCJ1" s="201"/>
      <c r="OCN1" s="201"/>
      <c r="OCR1" s="201"/>
      <c r="OCV1" s="201"/>
      <c r="OCZ1" s="201"/>
      <c r="ODD1" s="201"/>
      <c r="ODH1" s="201"/>
      <c r="ODL1" s="201"/>
      <c r="ODP1" s="201"/>
      <c r="ODT1" s="201"/>
      <c r="ODX1" s="201"/>
      <c r="OEB1" s="201"/>
      <c r="OEF1" s="201"/>
      <c r="OEJ1" s="201"/>
      <c r="OEN1" s="201"/>
      <c r="OER1" s="201"/>
      <c r="OEV1" s="201"/>
      <c r="OEZ1" s="201"/>
      <c r="OFD1" s="201"/>
      <c r="OFH1" s="201"/>
      <c r="OFL1" s="201"/>
      <c r="OFP1" s="201"/>
      <c r="OFT1" s="201"/>
      <c r="OFX1" s="201"/>
      <c r="OGB1" s="201"/>
      <c r="OGF1" s="201"/>
      <c r="OGJ1" s="201"/>
      <c r="OGN1" s="201"/>
      <c r="OGR1" s="201"/>
      <c r="OGV1" s="201"/>
      <c r="OGZ1" s="201"/>
      <c r="OHD1" s="201"/>
      <c r="OHH1" s="201"/>
      <c r="OHL1" s="201"/>
      <c r="OHP1" s="201"/>
      <c r="OHT1" s="201"/>
      <c r="OHX1" s="201"/>
      <c r="OIB1" s="201"/>
      <c r="OIF1" s="201"/>
      <c r="OIJ1" s="201"/>
      <c r="OIN1" s="201"/>
      <c r="OIR1" s="201"/>
      <c r="OIV1" s="201"/>
      <c r="OIZ1" s="201"/>
      <c r="OJD1" s="201"/>
      <c r="OJH1" s="201"/>
      <c r="OJL1" s="201"/>
      <c r="OJP1" s="201"/>
      <c r="OJT1" s="201"/>
      <c r="OJX1" s="201"/>
      <c r="OKB1" s="201"/>
      <c r="OKF1" s="201"/>
      <c r="OKJ1" s="201"/>
      <c r="OKN1" s="201"/>
      <c r="OKR1" s="201"/>
      <c r="OKV1" s="201"/>
      <c r="OKZ1" s="201"/>
      <c r="OLD1" s="201"/>
      <c r="OLH1" s="201"/>
      <c r="OLL1" s="201"/>
      <c r="OLP1" s="201"/>
      <c r="OLT1" s="201"/>
      <c r="OLX1" s="201"/>
      <c r="OMB1" s="201"/>
      <c r="OMF1" s="201"/>
      <c r="OMJ1" s="201"/>
      <c r="OMN1" s="201"/>
      <c r="OMR1" s="201"/>
      <c r="OMV1" s="201"/>
      <c r="OMZ1" s="201"/>
      <c r="OND1" s="201"/>
      <c r="ONH1" s="201"/>
      <c r="ONL1" s="201"/>
      <c r="ONP1" s="201"/>
      <c r="ONT1" s="201"/>
      <c r="ONX1" s="201"/>
      <c r="OOB1" s="201"/>
      <c r="OOF1" s="201"/>
      <c r="OOJ1" s="201"/>
      <c r="OON1" s="201"/>
      <c r="OOR1" s="201"/>
      <c r="OOV1" s="201"/>
      <c r="OOZ1" s="201"/>
      <c r="OPD1" s="201"/>
      <c r="OPH1" s="201"/>
      <c r="OPL1" s="201"/>
      <c r="OPP1" s="201"/>
      <c r="OPT1" s="201"/>
      <c r="OPX1" s="201"/>
      <c r="OQB1" s="201"/>
      <c r="OQF1" s="201"/>
      <c r="OQJ1" s="201"/>
      <c r="OQN1" s="201"/>
      <c r="OQR1" s="201"/>
      <c r="OQV1" s="201"/>
      <c r="OQZ1" s="201"/>
      <c r="ORD1" s="201"/>
      <c r="ORH1" s="201"/>
      <c r="ORL1" s="201"/>
      <c r="ORP1" s="201"/>
      <c r="ORT1" s="201"/>
      <c r="ORX1" s="201"/>
      <c r="OSB1" s="201"/>
      <c r="OSF1" s="201"/>
      <c r="OSJ1" s="201"/>
      <c r="OSN1" s="201"/>
      <c r="OSR1" s="201"/>
      <c r="OSV1" s="201"/>
      <c r="OSZ1" s="201"/>
      <c r="OTD1" s="201"/>
      <c r="OTH1" s="201"/>
      <c r="OTL1" s="201"/>
      <c r="OTP1" s="201"/>
      <c r="OTT1" s="201"/>
      <c r="OTX1" s="201"/>
      <c r="OUB1" s="201"/>
      <c r="OUF1" s="201"/>
      <c r="OUJ1" s="201"/>
      <c r="OUN1" s="201"/>
      <c r="OUR1" s="201"/>
      <c r="OUV1" s="201"/>
      <c r="OUZ1" s="201"/>
      <c r="OVD1" s="201"/>
      <c r="OVH1" s="201"/>
      <c r="OVL1" s="201"/>
      <c r="OVP1" s="201"/>
      <c r="OVT1" s="201"/>
      <c r="OVX1" s="201"/>
      <c r="OWB1" s="201"/>
      <c r="OWF1" s="201"/>
      <c r="OWJ1" s="201"/>
      <c r="OWN1" s="201"/>
      <c r="OWR1" s="201"/>
      <c r="OWV1" s="201"/>
      <c r="OWZ1" s="201"/>
      <c r="OXD1" s="201"/>
      <c r="OXH1" s="201"/>
      <c r="OXL1" s="201"/>
      <c r="OXP1" s="201"/>
      <c r="OXT1" s="201"/>
      <c r="OXX1" s="201"/>
      <c r="OYB1" s="201"/>
      <c r="OYF1" s="201"/>
      <c r="OYJ1" s="201"/>
      <c r="OYN1" s="201"/>
      <c r="OYR1" s="201"/>
      <c r="OYV1" s="201"/>
      <c r="OYZ1" s="201"/>
      <c r="OZD1" s="201"/>
      <c r="OZH1" s="201"/>
      <c r="OZL1" s="201"/>
      <c r="OZP1" s="201"/>
      <c r="OZT1" s="201"/>
      <c r="OZX1" s="201"/>
      <c r="PAB1" s="201"/>
      <c r="PAF1" s="201"/>
      <c r="PAJ1" s="201"/>
      <c r="PAN1" s="201"/>
      <c r="PAR1" s="201"/>
      <c r="PAV1" s="201"/>
      <c r="PAZ1" s="201"/>
      <c r="PBD1" s="201"/>
      <c r="PBH1" s="201"/>
      <c r="PBL1" s="201"/>
      <c r="PBP1" s="201"/>
      <c r="PBT1" s="201"/>
      <c r="PBX1" s="201"/>
      <c r="PCB1" s="201"/>
      <c r="PCF1" s="201"/>
      <c r="PCJ1" s="201"/>
      <c r="PCN1" s="201"/>
      <c r="PCR1" s="201"/>
      <c r="PCV1" s="201"/>
      <c r="PCZ1" s="201"/>
      <c r="PDD1" s="201"/>
      <c r="PDH1" s="201"/>
      <c r="PDL1" s="201"/>
      <c r="PDP1" s="201"/>
      <c r="PDT1" s="201"/>
      <c r="PDX1" s="201"/>
      <c r="PEB1" s="201"/>
      <c r="PEF1" s="201"/>
      <c r="PEJ1" s="201"/>
      <c r="PEN1" s="201"/>
      <c r="PER1" s="201"/>
      <c r="PEV1" s="201"/>
      <c r="PEZ1" s="201"/>
      <c r="PFD1" s="201"/>
      <c r="PFH1" s="201"/>
      <c r="PFL1" s="201"/>
      <c r="PFP1" s="201"/>
      <c r="PFT1" s="201"/>
      <c r="PFX1" s="201"/>
      <c r="PGB1" s="201"/>
      <c r="PGF1" s="201"/>
      <c r="PGJ1" s="201"/>
      <c r="PGN1" s="201"/>
      <c r="PGR1" s="201"/>
      <c r="PGV1" s="201"/>
      <c r="PGZ1" s="201"/>
      <c r="PHD1" s="201"/>
      <c r="PHH1" s="201"/>
      <c r="PHL1" s="201"/>
      <c r="PHP1" s="201"/>
      <c r="PHT1" s="201"/>
      <c r="PHX1" s="201"/>
      <c r="PIB1" s="201"/>
      <c r="PIF1" s="201"/>
      <c r="PIJ1" s="201"/>
      <c r="PIN1" s="201"/>
      <c r="PIR1" s="201"/>
      <c r="PIV1" s="201"/>
      <c r="PIZ1" s="201"/>
      <c r="PJD1" s="201"/>
      <c r="PJH1" s="201"/>
      <c r="PJL1" s="201"/>
      <c r="PJP1" s="201"/>
      <c r="PJT1" s="201"/>
      <c r="PJX1" s="201"/>
      <c r="PKB1" s="201"/>
      <c r="PKF1" s="201"/>
      <c r="PKJ1" s="201"/>
      <c r="PKN1" s="201"/>
      <c r="PKR1" s="201"/>
      <c r="PKV1" s="201"/>
      <c r="PKZ1" s="201"/>
      <c r="PLD1" s="201"/>
      <c r="PLH1" s="201"/>
      <c r="PLL1" s="201"/>
      <c r="PLP1" s="201"/>
      <c r="PLT1" s="201"/>
      <c r="PLX1" s="201"/>
      <c r="PMB1" s="201"/>
      <c r="PMF1" s="201"/>
      <c r="PMJ1" s="201"/>
      <c r="PMN1" s="201"/>
      <c r="PMR1" s="201"/>
      <c r="PMV1" s="201"/>
      <c r="PMZ1" s="201"/>
      <c r="PND1" s="201"/>
      <c r="PNH1" s="201"/>
      <c r="PNL1" s="201"/>
      <c r="PNP1" s="201"/>
      <c r="PNT1" s="201"/>
      <c r="PNX1" s="201"/>
      <c r="POB1" s="201"/>
      <c r="POF1" s="201"/>
      <c r="POJ1" s="201"/>
      <c r="PON1" s="201"/>
      <c r="POR1" s="201"/>
      <c r="POV1" s="201"/>
      <c r="POZ1" s="201"/>
      <c r="PPD1" s="201"/>
      <c r="PPH1" s="201"/>
      <c r="PPL1" s="201"/>
      <c r="PPP1" s="201"/>
      <c r="PPT1" s="201"/>
      <c r="PPX1" s="201"/>
      <c r="PQB1" s="201"/>
      <c r="PQF1" s="201"/>
      <c r="PQJ1" s="201"/>
      <c r="PQN1" s="201"/>
      <c r="PQR1" s="201"/>
      <c r="PQV1" s="201"/>
      <c r="PQZ1" s="201"/>
      <c r="PRD1" s="201"/>
      <c r="PRH1" s="201"/>
      <c r="PRL1" s="201"/>
      <c r="PRP1" s="201"/>
      <c r="PRT1" s="201"/>
      <c r="PRX1" s="201"/>
      <c r="PSB1" s="201"/>
      <c r="PSF1" s="201"/>
      <c r="PSJ1" s="201"/>
      <c r="PSN1" s="201"/>
      <c r="PSR1" s="201"/>
      <c r="PSV1" s="201"/>
      <c r="PSZ1" s="201"/>
      <c r="PTD1" s="201"/>
      <c r="PTH1" s="201"/>
      <c r="PTL1" s="201"/>
      <c r="PTP1" s="201"/>
      <c r="PTT1" s="201"/>
      <c r="PTX1" s="201"/>
      <c r="PUB1" s="201"/>
      <c r="PUF1" s="201"/>
      <c r="PUJ1" s="201"/>
      <c r="PUN1" s="201"/>
      <c r="PUR1" s="201"/>
      <c r="PUV1" s="201"/>
      <c r="PUZ1" s="201"/>
      <c r="PVD1" s="201"/>
      <c r="PVH1" s="201"/>
      <c r="PVL1" s="201"/>
      <c r="PVP1" s="201"/>
      <c r="PVT1" s="201"/>
      <c r="PVX1" s="201"/>
      <c r="PWB1" s="201"/>
      <c r="PWF1" s="201"/>
      <c r="PWJ1" s="201"/>
      <c r="PWN1" s="201"/>
      <c r="PWR1" s="201"/>
      <c r="PWV1" s="201"/>
      <c r="PWZ1" s="201"/>
      <c r="PXD1" s="201"/>
      <c r="PXH1" s="201"/>
      <c r="PXL1" s="201"/>
      <c r="PXP1" s="201"/>
      <c r="PXT1" s="201"/>
      <c r="PXX1" s="201"/>
      <c r="PYB1" s="201"/>
      <c r="PYF1" s="201"/>
      <c r="PYJ1" s="201"/>
      <c r="PYN1" s="201"/>
      <c r="PYR1" s="201"/>
      <c r="PYV1" s="201"/>
      <c r="PYZ1" s="201"/>
      <c r="PZD1" s="201"/>
      <c r="PZH1" s="201"/>
      <c r="PZL1" s="201"/>
      <c r="PZP1" s="201"/>
      <c r="PZT1" s="201"/>
      <c r="PZX1" s="201"/>
      <c r="QAB1" s="201"/>
      <c r="QAF1" s="201"/>
      <c r="QAJ1" s="201"/>
      <c r="QAN1" s="201"/>
      <c r="QAR1" s="201"/>
      <c r="QAV1" s="201"/>
      <c r="QAZ1" s="201"/>
      <c r="QBD1" s="201"/>
      <c r="QBH1" s="201"/>
      <c r="QBL1" s="201"/>
      <c r="QBP1" s="201"/>
      <c r="QBT1" s="201"/>
      <c r="QBX1" s="201"/>
      <c r="QCB1" s="201"/>
      <c r="QCF1" s="201"/>
      <c r="QCJ1" s="201"/>
      <c r="QCN1" s="201"/>
      <c r="QCR1" s="201"/>
      <c r="QCV1" s="201"/>
      <c r="QCZ1" s="201"/>
      <c r="QDD1" s="201"/>
      <c r="QDH1" s="201"/>
      <c r="QDL1" s="201"/>
      <c r="QDP1" s="201"/>
      <c r="QDT1" s="201"/>
      <c r="QDX1" s="201"/>
      <c r="QEB1" s="201"/>
      <c r="QEF1" s="201"/>
      <c r="QEJ1" s="201"/>
      <c r="QEN1" s="201"/>
      <c r="QER1" s="201"/>
      <c r="QEV1" s="201"/>
      <c r="QEZ1" s="201"/>
      <c r="QFD1" s="201"/>
      <c r="QFH1" s="201"/>
      <c r="QFL1" s="201"/>
      <c r="QFP1" s="201"/>
      <c r="QFT1" s="201"/>
      <c r="QFX1" s="201"/>
      <c r="QGB1" s="201"/>
      <c r="QGF1" s="201"/>
      <c r="QGJ1" s="201"/>
      <c r="QGN1" s="201"/>
      <c r="QGR1" s="201"/>
      <c r="QGV1" s="201"/>
      <c r="QGZ1" s="201"/>
      <c r="QHD1" s="201"/>
      <c r="QHH1" s="201"/>
      <c r="QHL1" s="201"/>
      <c r="QHP1" s="201"/>
      <c r="QHT1" s="201"/>
      <c r="QHX1" s="201"/>
      <c r="QIB1" s="201"/>
      <c r="QIF1" s="201"/>
      <c r="QIJ1" s="201"/>
      <c r="QIN1" s="201"/>
      <c r="QIR1" s="201"/>
      <c r="QIV1" s="201"/>
      <c r="QIZ1" s="201"/>
      <c r="QJD1" s="201"/>
      <c r="QJH1" s="201"/>
      <c r="QJL1" s="201"/>
      <c r="QJP1" s="201"/>
      <c r="QJT1" s="201"/>
      <c r="QJX1" s="201"/>
      <c r="QKB1" s="201"/>
      <c r="QKF1" s="201"/>
      <c r="QKJ1" s="201"/>
      <c r="QKN1" s="201"/>
      <c r="QKR1" s="201"/>
      <c r="QKV1" s="201"/>
      <c r="QKZ1" s="201"/>
      <c r="QLD1" s="201"/>
      <c r="QLH1" s="201"/>
      <c r="QLL1" s="201"/>
      <c r="QLP1" s="201"/>
      <c r="QLT1" s="201"/>
      <c r="QLX1" s="201"/>
      <c r="QMB1" s="201"/>
      <c r="QMF1" s="201"/>
      <c r="QMJ1" s="201"/>
      <c r="QMN1" s="201"/>
      <c r="QMR1" s="201"/>
      <c r="QMV1" s="201"/>
      <c r="QMZ1" s="201"/>
      <c r="QND1" s="201"/>
      <c r="QNH1" s="201"/>
      <c r="QNL1" s="201"/>
      <c r="QNP1" s="201"/>
      <c r="QNT1" s="201"/>
      <c r="QNX1" s="201"/>
      <c r="QOB1" s="201"/>
      <c r="QOF1" s="201"/>
      <c r="QOJ1" s="201"/>
      <c r="QON1" s="201"/>
      <c r="QOR1" s="201"/>
      <c r="QOV1" s="201"/>
      <c r="QOZ1" s="201"/>
      <c r="QPD1" s="201"/>
      <c r="QPH1" s="201"/>
      <c r="QPL1" s="201"/>
      <c r="QPP1" s="201"/>
      <c r="QPT1" s="201"/>
      <c r="QPX1" s="201"/>
      <c r="QQB1" s="201"/>
      <c r="QQF1" s="201"/>
      <c r="QQJ1" s="201"/>
      <c r="QQN1" s="201"/>
      <c r="QQR1" s="201"/>
      <c r="QQV1" s="201"/>
      <c r="QQZ1" s="201"/>
      <c r="QRD1" s="201"/>
      <c r="QRH1" s="201"/>
      <c r="QRL1" s="201"/>
      <c r="QRP1" s="201"/>
      <c r="QRT1" s="201"/>
      <c r="QRX1" s="201"/>
      <c r="QSB1" s="201"/>
      <c r="QSF1" s="201"/>
      <c r="QSJ1" s="201"/>
      <c r="QSN1" s="201"/>
      <c r="QSR1" s="201"/>
      <c r="QSV1" s="201"/>
      <c r="QSZ1" s="201"/>
      <c r="QTD1" s="201"/>
      <c r="QTH1" s="201"/>
      <c r="QTL1" s="201"/>
      <c r="QTP1" s="201"/>
      <c r="QTT1" s="201"/>
      <c r="QTX1" s="201"/>
      <c r="QUB1" s="201"/>
      <c r="QUF1" s="201"/>
      <c r="QUJ1" s="201"/>
      <c r="QUN1" s="201"/>
      <c r="QUR1" s="201"/>
      <c r="QUV1" s="201"/>
      <c r="QUZ1" s="201"/>
      <c r="QVD1" s="201"/>
      <c r="QVH1" s="201"/>
      <c r="QVL1" s="201"/>
      <c r="QVP1" s="201"/>
      <c r="QVT1" s="201"/>
      <c r="QVX1" s="201"/>
      <c r="QWB1" s="201"/>
      <c r="QWF1" s="201"/>
      <c r="QWJ1" s="201"/>
      <c r="QWN1" s="201"/>
      <c r="QWR1" s="201"/>
      <c r="QWV1" s="201"/>
      <c r="QWZ1" s="201"/>
      <c r="QXD1" s="201"/>
      <c r="QXH1" s="201"/>
      <c r="QXL1" s="201"/>
      <c r="QXP1" s="201"/>
      <c r="QXT1" s="201"/>
      <c r="QXX1" s="201"/>
      <c r="QYB1" s="201"/>
      <c r="QYF1" s="201"/>
      <c r="QYJ1" s="201"/>
      <c r="QYN1" s="201"/>
      <c r="QYR1" s="201"/>
      <c r="QYV1" s="201"/>
      <c r="QYZ1" s="201"/>
      <c r="QZD1" s="201"/>
      <c r="QZH1" s="201"/>
      <c r="QZL1" s="201"/>
      <c r="QZP1" s="201"/>
      <c r="QZT1" s="201"/>
      <c r="QZX1" s="201"/>
      <c r="RAB1" s="201"/>
      <c r="RAF1" s="201"/>
      <c r="RAJ1" s="201"/>
      <c r="RAN1" s="201"/>
      <c r="RAR1" s="201"/>
      <c r="RAV1" s="201"/>
      <c r="RAZ1" s="201"/>
      <c r="RBD1" s="201"/>
      <c r="RBH1" s="201"/>
      <c r="RBL1" s="201"/>
      <c r="RBP1" s="201"/>
      <c r="RBT1" s="201"/>
      <c r="RBX1" s="201"/>
      <c r="RCB1" s="201"/>
      <c r="RCF1" s="201"/>
      <c r="RCJ1" s="201"/>
      <c r="RCN1" s="201"/>
      <c r="RCR1" s="201"/>
      <c r="RCV1" s="201"/>
      <c r="RCZ1" s="201"/>
      <c r="RDD1" s="201"/>
      <c r="RDH1" s="201"/>
      <c r="RDL1" s="201"/>
      <c r="RDP1" s="201"/>
      <c r="RDT1" s="201"/>
      <c r="RDX1" s="201"/>
      <c r="REB1" s="201"/>
      <c r="REF1" s="201"/>
      <c r="REJ1" s="201"/>
      <c r="REN1" s="201"/>
      <c r="RER1" s="201"/>
      <c r="REV1" s="201"/>
      <c r="REZ1" s="201"/>
      <c r="RFD1" s="201"/>
      <c r="RFH1" s="201"/>
      <c r="RFL1" s="201"/>
      <c r="RFP1" s="201"/>
      <c r="RFT1" s="201"/>
      <c r="RFX1" s="201"/>
      <c r="RGB1" s="201"/>
      <c r="RGF1" s="201"/>
      <c r="RGJ1" s="201"/>
      <c r="RGN1" s="201"/>
      <c r="RGR1" s="201"/>
      <c r="RGV1" s="201"/>
      <c r="RGZ1" s="201"/>
      <c r="RHD1" s="201"/>
      <c r="RHH1" s="201"/>
      <c r="RHL1" s="201"/>
      <c r="RHP1" s="201"/>
      <c r="RHT1" s="201"/>
      <c r="RHX1" s="201"/>
      <c r="RIB1" s="201"/>
      <c r="RIF1" s="201"/>
      <c r="RIJ1" s="201"/>
      <c r="RIN1" s="201"/>
      <c r="RIR1" s="201"/>
      <c r="RIV1" s="201"/>
      <c r="RIZ1" s="201"/>
      <c r="RJD1" s="201"/>
      <c r="RJH1" s="201"/>
      <c r="RJL1" s="201"/>
      <c r="RJP1" s="201"/>
      <c r="RJT1" s="201"/>
      <c r="RJX1" s="201"/>
      <c r="RKB1" s="201"/>
      <c r="RKF1" s="201"/>
      <c r="RKJ1" s="201"/>
      <c r="RKN1" s="201"/>
      <c r="RKR1" s="201"/>
      <c r="RKV1" s="201"/>
      <c r="RKZ1" s="201"/>
      <c r="RLD1" s="201"/>
      <c r="RLH1" s="201"/>
      <c r="RLL1" s="201"/>
      <c r="RLP1" s="201"/>
      <c r="RLT1" s="201"/>
      <c r="RLX1" s="201"/>
      <c r="RMB1" s="201"/>
      <c r="RMF1" s="201"/>
      <c r="RMJ1" s="201"/>
      <c r="RMN1" s="201"/>
      <c r="RMR1" s="201"/>
      <c r="RMV1" s="201"/>
      <c r="RMZ1" s="201"/>
      <c r="RND1" s="201"/>
      <c r="RNH1" s="201"/>
      <c r="RNL1" s="201"/>
      <c r="RNP1" s="201"/>
      <c r="RNT1" s="201"/>
      <c r="RNX1" s="201"/>
      <c r="ROB1" s="201"/>
      <c r="ROF1" s="201"/>
      <c r="ROJ1" s="201"/>
      <c r="RON1" s="201"/>
      <c r="ROR1" s="201"/>
      <c r="ROV1" s="201"/>
      <c r="ROZ1" s="201"/>
      <c r="RPD1" s="201"/>
      <c r="RPH1" s="201"/>
      <c r="RPL1" s="201"/>
      <c r="RPP1" s="201"/>
      <c r="RPT1" s="201"/>
      <c r="RPX1" s="201"/>
      <c r="RQB1" s="201"/>
      <c r="RQF1" s="201"/>
      <c r="RQJ1" s="201"/>
      <c r="RQN1" s="201"/>
      <c r="RQR1" s="201"/>
      <c r="RQV1" s="201"/>
      <c r="RQZ1" s="201"/>
      <c r="RRD1" s="201"/>
      <c r="RRH1" s="201"/>
      <c r="RRL1" s="201"/>
      <c r="RRP1" s="201"/>
      <c r="RRT1" s="201"/>
      <c r="RRX1" s="201"/>
      <c r="RSB1" s="201"/>
      <c r="RSF1" s="201"/>
      <c r="RSJ1" s="201"/>
      <c r="RSN1" s="201"/>
      <c r="RSR1" s="201"/>
      <c r="RSV1" s="201"/>
      <c r="RSZ1" s="201"/>
      <c r="RTD1" s="201"/>
      <c r="RTH1" s="201"/>
      <c r="RTL1" s="201"/>
      <c r="RTP1" s="201"/>
      <c r="RTT1" s="201"/>
      <c r="RTX1" s="201"/>
      <c r="RUB1" s="201"/>
      <c r="RUF1" s="201"/>
      <c r="RUJ1" s="201"/>
      <c r="RUN1" s="201"/>
      <c r="RUR1" s="201"/>
      <c r="RUV1" s="201"/>
      <c r="RUZ1" s="201"/>
      <c r="RVD1" s="201"/>
      <c r="RVH1" s="201"/>
      <c r="RVL1" s="201"/>
      <c r="RVP1" s="201"/>
      <c r="RVT1" s="201"/>
      <c r="RVX1" s="201"/>
      <c r="RWB1" s="201"/>
      <c r="RWF1" s="201"/>
      <c r="RWJ1" s="201"/>
      <c r="RWN1" s="201"/>
      <c r="RWR1" s="201"/>
      <c r="RWV1" s="201"/>
      <c r="RWZ1" s="201"/>
      <c r="RXD1" s="201"/>
      <c r="RXH1" s="201"/>
      <c r="RXL1" s="201"/>
      <c r="RXP1" s="201"/>
      <c r="RXT1" s="201"/>
      <c r="RXX1" s="201"/>
      <c r="RYB1" s="201"/>
      <c r="RYF1" s="201"/>
      <c r="RYJ1" s="201"/>
      <c r="RYN1" s="201"/>
      <c r="RYR1" s="201"/>
      <c r="RYV1" s="201"/>
      <c r="RYZ1" s="201"/>
      <c r="RZD1" s="201"/>
      <c r="RZH1" s="201"/>
      <c r="RZL1" s="201"/>
      <c r="RZP1" s="201"/>
      <c r="RZT1" s="201"/>
      <c r="RZX1" s="201"/>
      <c r="SAB1" s="201"/>
      <c r="SAF1" s="201"/>
      <c r="SAJ1" s="201"/>
      <c r="SAN1" s="201"/>
      <c r="SAR1" s="201"/>
      <c r="SAV1" s="201"/>
      <c r="SAZ1" s="201"/>
      <c r="SBD1" s="201"/>
      <c r="SBH1" s="201"/>
      <c r="SBL1" s="201"/>
      <c r="SBP1" s="201"/>
      <c r="SBT1" s="201"/>
      <c r="SBX1" s="201"/>
      <c r="SCB1" s="201"/>
      <c r="SCF1" s="201"/>
      <c r="SCJ1" s="201"/>
      <c r="SCN1" s="201"/>
      <c r="SCR1" s="201"/>
      <c r="SCV1" s="201"/>
      <c r="SCZ1" s="201"/>
      <c r="SDD1" s="201"/>
      <c r="SDH1" s="201"/>
      <c r="SDL1" s="201"/>
      <c r="SDP1" s="201"/>
      <c r="SDT1" s="201"/>
      <c r="SDX1" s="201"/>
      <c r="SEB1" s="201"/>
      <c r="SEF1" s="201"/>
      <c r="SEJ1" s="201"/>
      <c r="SEN1" s="201"/>
      <c r="SER1" s="201"/>
      <c r="SEV1" s="201"/>
      <c r="SEZ1" s="201"/>
      <c r="SFD1" s="201"/>
      <c r="SFH1" s="201"/>
      <c r="SFL1" s="201"/>
      <c r="SFP1" s="201"/>
      <c r="SFT1" s="201"/>
      <c r="SFX1" s="201"/>
      <c r="SGB1" s="201"/>
      <c r="SGF1" s="201"/>
      <c r="SGJ1" s="201"/>
      <c r="SGN1" s="201"/>
      <c r="SGR1" s="201"/>
      <c r="SGV1" s="201"/>
      <c r="SGZ1" s="201"/>
      <c r="SHD1" s="201"/>
      <c r="SHH1" s="201"/>
      <c r="SHL1" s="201"/>
      <c r="SHP1" s="201"/>
      <c r="SHT1" s="201"/>
      <c r="SHX1" s="201"/>
      <c r="SIB1" s="201"/>
      <c r="SIF1" s="201"/>
      <c r="SIJ1" s="201"/>
      <c r="SIN1" s="201"/>
      <c r="SIR1" s="201"/>
      <c r="SIV1" s="201"/>
      <c r="SIZ1" s="201"/>
      <c r="SJD1" s="201"/>
      <c r="SJH1" s="201"/>
      <c r="SJL1" s="201"/>
      <c r="SJP1" s="201"/>
      <c r="SJT1" s="201"/>
      <c r="SJX1" s="201"/>
      <c r="SKB1" s="201"/>
      <c r="SKF1" s="201"/>
      <c r="SKJ1" s="201"/>
      <c r="SKN1" s="201"/>
      <c r="SKR1" s="201"/>
      <c r="SKV1" s="201"/>
      <c r="SKZ1" s="201"/>
      <c r="SLD1" s="201"/>
      <c r="SLH1" s="201"/>
      <c r="SLL1" s="201"/>
      <c r="SLP1" s="201"/>
      <c r="SLT1" s="201"/>
      <c r="SLX1" s="201"/>
      <c r="SMB1" s="201"/>
      <c r="SMF1" s="201"/>
      <c r="SMJ1" s="201"/>
      <c r="SMN1" s="201"/>
      <c r="SMR1" s="201"/>
      <c r="SMV1" s="201"/>
      <c r="SMZ1" s="201"/>
      <c r="SND1" s="201"/>
      <c r="SNH1" s="201"/>
      <c r="SNL1" s="201"/>
      <c r="SNP1" s="201"/>
      <c r="SNT1" s="201"/>
      <c r="SNX1" s="201"/>
      <c r="SOB1" s="201"/>
      <c r="SOF1" s="201"/>
      <c r="SOJ1" s="201"/>
      <c r="SON1" s="201"/>
      <c r="SOR1" s="201"/>
      <c r="SOV1" s="201"/>
      <c r="SOZ1" s="201"/>
      <c r="SPD1" s="201"/>
      <c r="SPH1" s="201"/>
      <c r="SPL1" s="201"/>
      <c r="SPP1" s="201"/>
      <c r="SPT1" s="201"/>
      <c r="SPX1" s="201"/>
      <c r="SQB1" s="201"/>
      <c r="SQF1" s="201"/>
      <c r="SQJ1" s="201"/>
      <c r="SQN1" s="201"/>
      <c r="SQR1" s="201"/>
      <c r="SQV1" s="201"/>
      <c r="SQZ1" s="201"/>
      <c r="SRD1" s="201"/>
      <c r="SRH1" s="201"/>
      <c r="SRL1" s="201"/>
      <c r="SRP1" s="201"/>
      <c r="SRT1" s="201"/>
      <c r="SRX1" s="201"/>
      <c r="SSB1" s="201"/>
      <c r="SSF1" s="201"/>
      <c r="SSJ1" s="201"/>
      <c r="SSN1" s="201"/>
      <c r="SSR1" s="201"/>
      <c r="SSV1" s="201"/>
      <c r="SSZ1" s="201"/>
      <c r="STD1" s="201"/>
      <c r="STH1" s="201"/>
      <c r="STL1" s="201"/>
      <c r="STP1" s="201"/>
      <c r="STT1" s="201"/>
      <c r="STX1" s="201"/>
      <c r="SUB1" s="201"/>
      <c r="SUF1" s="201"/>
      <c r="SUJ1" s="201"/>
      <c r="SUN1" s="201"/>
      <c r="SUR1" s="201"/>
      <c r="SUV1" s="201"/>
      <c r="SUZ1" s="201"/>
      <c r="SVD1" s="201"/>
      <c r="SVH1" s="201"/>
      <c r="SVL1" s="201"/>
      <c r="SVP1" s="201"/>
      <c r="SVT1" s="201"/>
      <c r="SVX1" s="201"/>
      <c r="SWB1" s="201"/>
      <c r="SWF1" s="201"/>
      <c r="SWJ1" s="201"/>
      <c r="SWN1" s="201"/>
      <c r="SWR1" s="201"/>
      <c r="SWV1" s="201"/>
      <c r="SWZ1" s="201"/>
      <c r="SXD1" s="201"/>
      <c r="SXH1" s="201"/>
      <c r="SXL1" s="201"/>
      <c r="SXP1" s="201"/>
      <c r="SXT1" s="201"/>
      <c r="SXX1" s="201"/>
      <c r="SYB1" s="201"/>
      <c r="SYF1" s="201"/>
      <c r="SYJ1" s="201"/>
      <c r="SYN1" s="201"/>
      <c r="SYR1" s="201"/>
      <c r="SYV1" s="201"/>
      <c r="SYZ1" s="201"/>
      <c r="SZD1" s="201"/>
      <c r="SZH1" s="201"/>
      <c r="SZL1" s="201"/>
      <c r="SZP1" s="201"/>
      <c r="SZT1" s="201"/>
      <c r="SZX1" s="201"/>
      <c r="TAB1" s="201"/>
      <c r="TAF1" s="201"/>
      <c r="TAJ1" s="201"/>
      <c r="TAN1" s="201"/>
      <c r="TAR1" s="201"/>
      <c r="TAV1" s="201"/>
      <c r="TAZ1" s="201"/>
      <c r="TBD1" s="201"/>
      <c r="TBH1" s="201"/>
      <c r="TBL1" s="201"/>
      <c r="TBP1" s="201"/>
      <c r="TBT1" s="201"/>
      <c r="TBX1" s="201"/>
      <c r="TCB1" s="201"/>
      <c r="TCF1" s="201"/>
      <c r="TCJ1" s="201"/>
      <c r="TCN1" s="201"/>
      <c r="TCR1" s="201"/>
      <c r="TCV1" s="201"/>
      <c r="TCZ1" s="201"/>
      <c r="TDD1" s="201"/>
      <c r="TDH1" s="201"/>
      <c r="TDL1" s="201"/>
      <c r="TDP1" s="201"/>
      <c r="TDT1" s="201"/>
      <c r="TDX1" s="201"/>
      <c r="TEB1" s="201"/>
      <c r="TEF1" s="201"/>
      <c r="TEJ1" s="201"/>
      <c r="TEN1" s="201"/>
      <c r="TER1" s="201"/>
      <c r="TEV1" s="201"/>
      <c r="TEZ1" s="201"/>
      <c r="TFD1" s="201"/>
      <c r="TFH1" s="201"/>
      <c r="TFL1" s="201"/>
      <c r="TFP1" s="201"/>
      <c r="TFT1" s="201"/>
      <c r="TFX1" s="201"/>
      <c r="TGB1" s="201"/>
      <c r="TGF1" s="201"/>
      <c r="TGJ1" s="201"/>
      <c r="TGN1" s="201"/>
      <c r="TGR1" s="201"/>
      <c r="TGV1" s="201"/>
      <c r="TGZ1" s="201"/>
      <c r="THD1" s="201"/>
      <c r="THH1" s="201"/>
      <c r="THL1" s="201"/>
      <c r="THP1" s="201"/>
      <c r="THT1" s="201"/>
      <c r="THX1" s="201"/>
      <c r="TIB1" s="201"/>
      <c r="TIF1" s="201"/>
      <c r="TIJ1" s="201"/>
      <c r="TIN1" s="201"/>
      <c r="TIR1" s="201"/>
      <c r="TIV1" s="201"/>
      <c r="TIZ1" s="201"/>
      <c r="TJD1" s="201"/>
      <c r="TJH1" s="201"/>
      <c r="TJL1" s="201"/>
      <c r="TJP1" s="201"/>
      <c r="TJT1" s="201"/>
      <c r="TJX1" s="201"/>
      <c r="TKB1" s="201"/>
      <c r="TKF1" s="201"/>
      <c r="TKJ1" s="201"/>
      <c r="TKN1" s="201"/>
      <c r="TKR1" s="201"/>
      <c r="TKV1" s="201"/>
      <c r="TKZ1" s="201"/>
      <c r="TLD1" s="201"/>
      <c r="TLH1" s="201"/>
      <c r="TLL1" s="201"/>
      <c r="TLP1" s="201"/>
      <c r="TLT1" s="201"/>
      <c r="TLX1" s="201"/>
      <c r="TMB1" s="201"/>
      <c r="TMF1" s="201"/>
      <c r="TMJ1" s="201"/>
      <c r="TMN1" s="201"/>
      <c r="TMR1" s="201"/>
      <c r="TMV1" s="201"/>
      <c r="TMZ1" s="201"/>
      <c r="TND1" s="201"/>
      <c r="TNH1" s="201"/>
      <c r="TNL1" s="201"/>
      <c r="TNP1" s="201"/>
      <c r="TNT1" s="201"/>
      <c r="TNX1" s="201"/>
      <c r="TOB1" s="201"/>
      <c r="TOF1" s="201"/>
      <c r="TOJ1" s="201"/>
      <c r="TON1" s="201"/>
      <c r="TOR1" s="201"/>
      <c r="TOV1" s="201"/>
      <c r="TOZ1" s="201"/>
      <c r="TPD1" s="201"/>
      <c r="TPH1" s="201"/>
      <c r="TPL1" s="201"/>
      <c r="TPP1" s="201"/>
      <c r="TPT1" s="201"/>
      <c r="TPX1" s="201"/>
      <c r="TQB1" s="201"/>
      <c r="TQF1" s="201"/>
      <c r="TQJ1" s="201"/>
      <c r="TQN1" s="201"/>
      <c r="TQR1" s="201"/>
      <c r="TQV1" s="201"/>
      <c r="TQZ1" s="201"/>
      <c r="TRD1" s="201"/>
      <c r="TRH1" s="201"/>
      <c r="TRL1" s="201"/>
      <c r="TRP1" s="201"/>
      <c r="TRT1" s="201"/>
      <c r="TRX1" s="201"/>
      <c r="TSB1" s="201"/>
      <c r="TSF1" s="201"/>
      <c r="TSJ1" s="201"/>
      <c r="TSN1" s="201"/>
      <c r="TSR1" s="201"/>
      <c r="TSV1" s="201"/>
      <c r="TSZ1" s="201"/>
      <c r="TTD1" s="201"/>
      <c r="TTH1" s="201"/>
      <c r="TTL1" s="201"/>
      <c r="TTP1" s="201"/>
      <c r="TTT1" s="201"/>
      <c r="TTX1" s="201"/>
      <c r="TUB1" s="201"/>
      <c r="TUF1" s="201"/>
      <c r="TUJ1" s="201"/>
      <c r="TUN1" s="201"/>
      <c r="TUR1" s="201"/>
      <c r="TUV1" s="201"/>
      <c r="TUZ1" s="201"/>
      <c r="TVD1" s="201"/>
      <c r="TVH1" s="201"/>
      <c r="TVL1" s="201"/>
      <c r="TVP1" s="201"/>
      <c r="TVT1" s="201"/>
      <c r="TVX1" s="201"/>
      <c r="TWB1" s="201"/>
      <c r="TWF1" s="201"/>
      <c r="TWJ1" s="201"/>
      <c r="TWN1" s="201"/>
      <c r="TWR1" s="201"/>
      <c r="TWV1" s="201"/>
      <c r="TWZ1" s="201"/>
      <c r="TXD1" s="201"/>
      <c r="TXH1" s="201"/>
      <c r="TXL1" s="201"/>
      <c r="TXP1" s="201"/>
      <c r="TXT1" s="201"/>
      <c r="TXX1" s="201"/>
      <c r="TYB1" s="201"/>
      <c r="TYF1" s="201"/>
      <c r="TYJ1" s="201"/>
      <c r="TYN1" s="201"/>
      <c r="TYR1" s="201"/>
      <c r="TYV1" s="201"/>
      <c r="TYZ1" s="201"/>
      <c r="TZD1" s="201"/>
      <c r="TZH1" s="201"/>
      <c r="TZL1" s="201"/>
      <c r="TZP1" s="201"/>
      <c r="TZT1" s="201"/>
      <c r="TZX1" s="201"/>
      <c r="UAB1" s="201"/>
      <c r="UAF1" s="201"/>
      <c r="UAJ1" s="201"/>
      <c r="UAN1" s="201"/>
      <c r="UAR1" s="201"/>
      <c r="UAV1" s="201"/>
      <c r="UAZ1" s="201"/>
      <c r="UBD1" s="201"/>
      <c r="UBH1" s="201"/>
      <c r="UBL1" s="201"/>
      <c r="UBP1" s="201"/>
      <c r="UBT1" s="201"/>
      <c r="UBX1" s="201"/>
      <c r="UCB1" s="201"/>
      <c r="UCF1" s="201"/>
      <c r="UCJ1" s="201"/>
      <c r="UCN1" s="201"/>
      <c r="UCR1" s="201"/>
      <c r="UCV1" s="201"/>
      <c r="UCZ1" s="201"/>
      <c r="UDD1" s="201"/>
      <c r="UDH1" s="201"/>
      <c r="UDL1" s="201"/>
      <c r="UDP1" s="201"/>
      <c r="UDT1" s="201"/>
      <c r="UDX1" s="201"/>
      <c r="UEB1" s="201"/>
      <c r="UEF1" s="201"/>
      <c r="UEJ1" s="201"/>
      <c r="UEN1" s="201"/>
      <c r="UER1" s="201"/>
      <c r="UEV1" s="201"/>
      <c r="UEZ1" s="201"/>
      <c r="UFD1" s="201"/>
      <c r="UFH1" s="201"/>
      <c r="UFL1" s="201"/>
      <c r="UFP1" s="201"/>
      <c r="UFT1" s="201"/>
      <c r="UFX1" s="201"/>
      <c r="UGB1" s="201"/>
      <c r="UGF1" s="201"/>
      <c r="UGJ1" s="201"/>
      <c r="UGN1" s="201"/>
      <c r="UGR1" s="201"/>
      <c r="UGV1" s="201"/>
      <c r="UGZ1" s="201"/>
      <c r="UHD1" s="201"/>
      <c r="UHH1" s="201"/>
      <c r="UHL1" s="201"/>
      <c r="UHP1" s="201"/>
      <c r="UHT1" s="201"/>
      <c r="UHX1" s="201"/>
      <c r="UIB1" s="201"/>
      <c r="UIF1" s="201"/>
      <c r="UIJ1" s="201"/>
      <c r="UIN1" s="201"/>
      <c r="UIR1" s="201"/>
      <c r="UIV1" s="201"/>
      <c r="UIZ1" s="201"/>
      <c r="UJD1" s="201"/>
      <c r="UJH1" s="201"/>
      <c r="UJL1" s="201"/>
      <c r="UJP1" s="201"/>
      <c r="UJT1" s="201"/>
      <c r="UJX1" s="201"/>
      <c r="UKB1" s="201"/>
      <c r="UKF1" s="201"/>
      <c r="UKJ1" s="201"/>
      <c r="UKN1" s="201"/>
      <c r="UKR1" s="201"/>
      <c r="UKV1" s="201"/>
      <c r="UKZ1" s="201"/>
      <c r="ULD1" s="201"/>
      <c r="ULH1" s="201"/>
      <c r="ULL1" s="201"/>
      <c r="ULP1" s="201"/>
      <c r="ULT1" s="201"/>
      <c r="ULX1" s="201"/>
      <c r="UMB1" s="201"/>
      <c r="UMF1" s="201"/>
      <c r="UMJ1" s="201"/>
      <c r="UMN1" s="201"/>
      <c r="UMR1" s="201"/>
      <c r="UMV1" s="201"/>
      <c r="UMZ1" s="201"/>
      <c r="UND1" s="201"/>
      <c r="UNH1" s="201"/>
      <c r="UNL1" s="201"/>
      <c r="UNP1" s="201"/>
      <c r="UNT1" s="201"/>
      <c r="UNX1" s="201"/>
      <c r="UOB1" s="201"/>
      <c r="UOF1" s="201"/>
      <c r="UOJ1" s="201"/>
      <c r="UON1" s="201"/>
      <c r="UOR1" s="201"/>
      <c r="UOV1" s="201"/>
      <c r="UOZ1" s="201"/>
      <c r="UPD1" s="201"/>
      <c r="UPH1" s="201"/>
      <c r="UPL1" s="201"/>
      <c r="UPP1" s="201"/>
      <c r="UPT1" s="201"/>
      <c r="UPX1" s="201"/>
      <c r="UQB1" s="201"/>
      <c r="UQF1" s="201"/>
      <c r="UQJ1" s="201"/>
      <c r="UQN1" s="201"/>
      <c r="UQR1" s="201"/>
      <c r="UQV1" s="201"/>
      <c r="UQZ1" s="201"/>
      <c r="URD1" s="201"/>
      <c r="URH1" s="201"/>
      <c r="URL1" s="201"/>
      <c r="URP1" s="201"/>
      <c r="URT1" s="201"/>
      <c r="URX1" s="201"/>
      <c r="USB1" s="201"/>
      <c r="USF1" s="201"/>
      <c r="USJ1" s="201"/>
      <c r="USN1" s="201"/>
      <c r="USR1" s="201"/>
      <c r="USV1" s="201"/>
      <c r="USZ1" s="201"/>
      <c r="UTD1" s="201"/>
      <c r="UTH1" s="201"/>
      <c r="UTL1" s="201"/>
      <c r="UTP1" s="201"/>
      <c r="UTT1" s="201"/>
      <c r="UTX1" s="201"/>
      <c r="UUB1" s="201"/>
      <c r="UUF1" s="201"/>
      <c r="UUJ1" s="201"/>
      <c r="UUN1" s="201"/>
      <c r="UUR1" s="201"/>
      <c r="UUV1" s="201"/>
      <c r="UUZ1" s="201"/>
      <c r="UVD1" s="201"/>
      <c r="UVH1" s="201"/>
      <c r="UVL1" s="201"/>
      <c r="UVP1" s="201"/>
      <c r="UVT1" s="201"/>
      <c r="UVX1" s="201"/>
      <c r="UWB1" s="201"/>
      <c r="UWF1" s="201"/>
      <c r="UWJ1" s="201"/>
      <c r="UWN1" s="201"/>
      <c r="UWR1" s="201"/>
      <c r="UWV1" s="201"/>
      <c r="UWZ1" s="201"/>
      <c r="UXD1" s="201"/>
      <c r="UXH1" s="201"/>
      <c r="UXL1" s="201"/>
      <c r="UXP1" s="201"/>
      <c r="UXT1" s="201"/>
      <c r="UXX1" s="201"/>
      <c r="UYB1" s="201"/>
      <c r="UYF1" s="201"/>
      <c r="UYJ1" s="201"/>
      <c r="UYN1" s="201"/>
      <c r="UYR1" s="201"/>
      <c r="UYV1" s="201"/>
      <c r="UYZ1" s="201"/>
      <c r="UZD1" s="201"/>
      <c r="UZH1" s="201"/>
      <c r="UZL1" s="201"/>
      <c r="UZP1" s="201"/>
      <c r="UZT1" s="201"/>
      <c r="UZX1" s="201"/>
      <c r="VAB1" s="201"/>
      <c r="VAF1" s="201"/>
      <c r="VAJ1" s="201"/>
      <c r="VAN1" s="201"/>
      <c r="VAR1" s="201"/>
      <c r="VAV1" s="201"/>
      <c r="VAZ1" s="201"/>
      <c r="VBD1" s="201"/>
      <c r="VBH1" s="201"/>
      <c r="VBL1" s="201"/>
      <c r="VBP1" s="201"/>
      <c r="VBT1" s="201"/>
      <c r="VBX1" s="201"/>
      <c r="VCB1" s="201"/>
      <c r="VCF1" s="201"/>
      <c r="VCJ1" s="201"/>
      <c r="VCN1" s="201"/>
      <c r="VCR1" s="201"/>
      <c r="VCV1" s="201"/>
      <c r="VCZ1" s="201"/>
      <c r="VDD1" s="201"/>
      <c r="VDH1" s="201"/>
      <c r="VDL1" s="201"/>
      <c r="VDP1" s="201"/>
      <c r="VDT1" s="201"/>
      <c r="VDX1" s="201"/>
      <c r="VEB1" s="201"/>
      <c r="VEF1" s="201"/>
      <c r="VEJ1" s="201"/>
      <c r="VEN1" s="201"/>
      <c r="VER1" s="201"/>
      <c r="VEV1" s="201"/>
      <c r="VEZ1" s="201"/>
      <c r="VFD1" s="201"/>
      <c r="VFH1" s="201"/>
      <c r="VFL1" s="201"/>
      <c r="VFP1" s="201"/>
      <c r="VFT1" s="201"/>
      <c r="VFX1" s="201"/>
      <c r="VGB1" s="201"/>
      <c r="VGF1" s="201"/>
      <c r="VGJ1" s="201"/>
      <c r="VGN1" s="201"/>
      <c r="VGR1" s="201"/>
      <c r="VGV1" s="201"/>
      <c r="VGZ1" s="201"/>
      <c r="VHD1" s="201"/>
      <c r="VHH1" s="201"/>
      <c r="VHL1" s="201"/>
      <c r="VHP1" s="201"/>
      <c r="VHT1" s="201"/>
      <c r="VHX1" s="201"/>
      <c r="VIB1" s="201"/>
      <c r="VIF1" s="201"/>
      <c r="VIJ1" s="201"/>
      <c r="VIN1" s="201"/>
      <c r="VIR1" s="201"/>
      <c r="VIV1" s="201"/>
      <c r="VIZ1" s="201"/>
      <c r="VJD1" s="201"/>
      <c r="VJH1" s="201"/>
      <c r="VJL1" s="201"/>
      <c r="VJP1" s="201"/>
      <c r="VJT1" s="201"/>
      <c r="VJX1" s="201"/>
      <c r="VKB1" s="201"/>
      <c r="VKF1" s="201"/>
      <c r="VKJ1" s="201"/>
      <c r="VKN1" s="201"/>
      <c r="VKR1" s="201"/>
      <c r="VKV1" s="201"/>
      <c r="VKZ1" s="201"/>
      <c r="VLD1" s="201"/>
      <c r="VLH1" s="201"/>
      <c r="VLL1" s="201"/>
      <c r="VLP1" s="201"/>
      <c r="VLT1" s="201"/>
      <c r="VLX1" s="201"/>
      <c r="VMB1" s="201"/>
      <c r="VMF1" s="201"/>
      <c r="VMJ1" s="201"/>
      <c r="VMN1" s="201"/>
      <c r="VMR1" s="201"/>
      <c r="VMV1" s="201"/>
      <c r="VMZ1" s="201"/>
      <c r="VND1" s="201"/>
      <c r="VNH1" s="201"/>
      <c r="VNL1" s="201"/>
      <c r="VNP1" s="201"/>
      <c r="VNT1" s="201"/>
      <c r="VNX1" s="201"/>
      <c r="VOB1" s="201"/>
      <c r="VOF1" s="201"/>
      <c r="VOJ1" s="201"/>
      <c r="VON1" s="201"/>
      <c r="VOR1" s="201"/>
      <c r="VOV1" s="201"/>
      <c r="VOZ1" s="201"/>
      <c r="VPD1" s="201"/>
      <c r="VPH1" s="201"/>
      <c r="VPL1" s="201"/>
      <c r="VPP1" s="201"/>
      <c r="VPT1" s="201"/>
      <c r="VPX1" s="201"/>
      <c r="VQB1" s="201"/>
      <c r="VQF1" s="201"/>
      <c r="VQJ1" s="201"/>
      <c r="VQN1" s="201"/>
      <c r="VQR1" s="201"/>
      <c r="VQV1" s="201"/>
      <c r="VQZ1" s="201"/>
      <c r="VRD1" s="201"/>
      <c r="VRH1" s="201"/>
      <c r="VRL1" s="201"/>
      <c r="VRP1" s="201"/>
      <c r="VRT1" s="201"/>
      <c r="VRX1" s="201"/>
      <c r="VSB1" s="201"/>
      <c r="VSF1" s="201"/>
      <c r="VSJ1" s="201"/>
      <c r="VSN1" s="201"/>
      <c r="VSR1" s="201"/>
      <c r="VSV1" s="201"/>
      <c r="VSZ1" s="201"/>
      <c r="VTD1" s="201"/>
      <c r="VTH1" s="201"/>
      <c r="VTL1" s="201"/>
      <c r="VTP1" s="201"/>
      <c r="VTT1" s="201"/>
      <c r="VTX1" s="201"/>
      <c r="VUB1" s="201"/>
      <c r="VUF1" s="201"/>
      <c r="VUJ1" s="201"/>
      <c r="VUN1" s="201"/>
      <c r="VUR1" s="201"/>
      <c r="VUV1" s="201"/>
      <c r="VUZ1" s="201"/>
      <c r="VVD1" s="201"/>
      <c r="VVH1" s="201"/>
      <c r="VVL1" s="201"/>
      <c r="VVP1" s="201"/>
      <c r="VVT1" s="201"/>
      <c r="VVX1" s="201"/>
      <c r="VWB1" s="201"/>
      <c r="VWF1" s="201"/>
      <c r="VWJ1" s="201"/>
      <c r="VWN1" s="201"/>
      <c r="VWR1" s="201"/>
      <c r="VWV1" s="201"/>
      <c r="VWZ1" s="201"/>
      <c r="VXD1" s="201"/>
      <c r="VXH1" s="201"/>
      <c r="VXL1" s="201"/>
      <c r="VXP1" s="201"/>
      <c r="VXT1" s="201"/>
      <c r="VXX1" s="201"/>
      <c r="VYB1" s="201"/>
      <c r="VYF1" s="201"/>
      <c r="VYJ1" s="201"/>
      <c r="VYN1" s="201"/>
      <c r="VYR1" s="201"/>
      <c r="VYV1" s="201"/>
      <c r="VYZ1" s="201"/>
      <c r="VZD1" s="201"/>
      <c r="VZH1" s="201"/>
      <c r="VZL1" s="201"/>
      <c r="VZP1" s="201"/>
      <c r="VZT1" s="201"/>
      <c r="VZX1" s="201"/>
      <c r="WAB1" s="201"/>
      <c r="WAF1" s="201"/>
      <c r="WAJ1" s="201"/>
      <c r="WAN1" s="201"/>
      <c r="WAR1" s="201"/>
      <c r="WAV1" s="201"/>
      <c r="WAZ1" s="201"/>
      <c r="WBD1" s="201"/>
      <c r="WBH1" s="201"/>
      <c r="WBL1" s="201"/>
      <c r="WBP1" s="201"/>
      <c r="WBT1" s="201"/>
      <c r="WBX1" s="201"/>
      <c r="WCB1" s="201"/>
      <c r="WCF1" s="201"/>
      <c r="WCJ1" s="201"/>
      <c r="WCN1" s="201"/>
      <c r="WCR1" s="201"/>
      <c r="WCV1" s="201"/>
      <c r="WCZ1" s="201"/>
      <c r="WDD1" s="201"/>
      <c r="WDH1" s="201"/>
      <c r="WDL1" s="201"/>
      <c r="WDP1" s="201"/>
      <c r="WDT1" s="201"/>
      <c r="WDX1" s="201"/>
      <c r="WEB1" s="201"/>
      <c r="WEF1" s="201"/>
      <c r="WEJ1" s="201"/>
      <c r="WEN1" s="201"/>
      <c r="WER1" s="201"/>
      <c r="WEV1" s="201"/>
      <c r="WEZ1" s="201"/>
      <c r="WFD1" s="201"/>
      <c r="WFH1" s="201"/>
      <c r="WFL1" s="201"/>
      <c r="WFP1" s="201"/>
      <c r="WFT1" s="201"/>
      <c r="WFX1" s="201"/>
      <c r="WGB1" s="201"/>
      <c r="WGF1" s="201"/>
      <c r="WGJ1" s="201"/>
      <c r="WGN1" s="201"/>
      <c r="WGR1" s="201"/>
      <c r="WGV1" s="201"/>
      <c r="WGZ1" s="201"/>
      <c r="WHD1" s="201"/>
      <c r="WHH1" s="201"/>
      <c r="WHL1" s="201"/>
      <c r="WHP1" s="201"/>
      <c r="WHT1" s="201"/>
      <c r="WHX1" s="201"/>
      <c r="WIB1" s="201"/>
      <c r="WIF1" s="201"/>
      <c r="WIJ1" s="201"/>
      <c r="WIN1" s="201"/>
      <c r="WIR1" s="201"/>
      <c r="WIV1" s="201"/>
      <c r="WIZ1" s="201"/>
      <c r="WJD1" s="201"/>
      <c r="WJH1" s="201"/>
      <c r="WJL1" s="201"/>
      <c r="WJP1" s="201"/>
      <c r="WJT1" s="201"/>
      <c r="WJX1" s="201"/>
      <c r="WKB1" s="201"/>
      <c r="WKF1" s="201"/>
      <c r="WKJ1" s="201"/>
      <c r="WKN1" s="201"/>
      <c r="WKR1" s="201"/>
      <c r="WKV1" s="201"/>
      <c r="WKZ1" s="201"/>
      <c r="WLD1" s="201"/>
      <c r="WLH1" s="201"/>
      <c r="WLL1" s="201"/>
      <c r="WLP1" s="201"/>
      <c r="WLT1" s="201"/>
      <c r="WLX1" s="201"/>
      <c r="WMB1" s="201"/>
      <c r="WMF1" s="201"/>
      <c r="WMJ1" s="201"/>
      <c r="WMN1" s="201"/>
      <c r="WMR1" s="201"/>
      <c r="WMV1" s="201"/>
      <c r="WMZ1" s="201"/>
      <c r="WND1" s="201"/>
      <c r="WNH1" s="201"/>
      <c r="WNL1" s="201"/>
      <c r="WNP1" s="201"/>
      <c r="WNT1" s="201"/>
      <c r="WNX1" s="201"/>
      <c r="WOB1" s="201"/>
      <c r="WOF1" s="201"/>
      <c r="WOJ1" s="201"/>
      <c r="WON1" s="201"/>
      <c r="WOR1" s="201"/>
      <c r="WOV1" s="201"/>
      <c r="WOZ1" s="201"/>
      <c r="WPD1" s="201"/>
      <c r="WPH1" s="201"/>
      <c r="WPL1" s="201"/>
      <c r="WPP1" s="201"/>
      <c r="WPT1" s="201"/>
      <c r="WPX1" s="201"/>
      <c r="WQB1" s="201"/>
      <c r="WQF1" s="201"/>
      <c r="WQJ1" s="201"/>
      <c r="WQN1" s="201"/>
      <c r="WQR1" s="201"/>
      <c r="WQV1" s="201"/>
      <c r="WQZ1" s="201"/>
      <c r="WRD1" s="201"/>
      <c r="WRH1" s="201"/>
      <c r="WRL1" s="201"/>
      <c r="WRP1" s="201"/>
      <c r="WRT1" s="201"/>
      <c r="WRX1" s="201"/>
      <c r="WSB1" s="201"/>
      <c r="WSF1" s="201"/>
      <c r="WSJ1" s="201"/>
      <c r="WSN1" s="201"/>
      <c r="WSR1" s="201"/>
      <c r="WSV1" s="201"/>
      <c r="WSZ1" s="201"/>
      <c r="WTD1" s="201"/>
      <c r="WTH1" s="201"/>
      <c r="WTL1" s="201"/>
      <c r="WTP1" s="201"/>
      <c r="WTT1" s="201"/>
      <c r="WTX1" s="201"/>
      <c r="WUB1" s="201"/>
      <c r="WUF1" s="201"/>
      <c r="WUJ1" s="201"/>
      <c r="WUN1" s="201"/>
      <c r="WUR1" s="201"/>
      <c r="WUV1" s="201"/>
      <c r="WUZ1" s="201"/>
      <c r="WVD1" s="201"/>
      <c r="WVH1" s="201"/>
      <c r="WVL1" s="201"/>
      <c r="WVP1" s="201"/>
      <c r="WVT1" s="201"/>
      <c r="WVX1" s="201"/>
      <c r="WWB1" s="201"/>
      <c r="WWF1" s="201"/>
      <c r="WWJ1" s="201"/>
      <c r="WWN1" s="201"/>
      <c r="WWR1" s="201"/>
      <c r="WWV1" s="201"/>
      <c r="WWZ1" s="201"/>
      <c r="WXD1" s="201"/>
      <c r="WXH1" s="201"/>
      <c r="WXL1" s="201"/>
      <c r="WXP1" s="201"/>
      <c r="WXT1" s="201"/>
      <c r="WXX1" s="201"/>
      <c r="WYB1" s="201"/>
      <c r="WYF1" s="201"/>
      <c r="WYJ1" s="201"/>
      <c r="WYN1" s="201"/>
      <c r="WYR1" s="201"/>
      <c r="WYV1" s="201"/>
      <c r="WYZ1" s="201"/>
      <c r="WZD1" s="201"/>
      <c r="WZH1" s="201"/>
      <c r="WZL1" s="201"/>
      <c r="WZP1" s="201"/>
      <c r="WZT1" s="201"/>
      <c r="WZX1" s="201"/>
      <c r="XAB1" s="201"/>
      <c r="XAF1" s="201"/>
      <c r="XAJ1" s="201"/>
      <c r="XAN1" s="201"/>
      <c r="XAR1" s="201"/>
      <c r="XAV1" s="201"/>
      <c r="XAZ1" s="201"/>
      <c r="XBD1" s="201"/>
      <c r="XBH1" s="201"/>
      <c r="XBL1" s="201"/>
      <c r="XBP1" s="201"/>
      <c r="XBT1" s="201"/>
      <c r="XBX1" s="201"/>
      <c r="XCB1" s="201"/>
      <c r="XCF1" s="201"/>
      <c r="XCJ1" s="201"/>
      <c r="XCN1" s="201"/>
      <c r="XCR1" s="201"/>
      <c r="XCV1" s="201"/>
      <c r="XCZ1" s="201"/>
      <c r="XDD1" s="201"/>
      <c r="XDH1" s="201"/>
      <c r="XDL1" s="201"/>
      <c r="XDP1" s="201"/>
      <c r="XDT1" s="201"/>
      <c r="XDX1" s="201"/>
      <c r="XEB1" s="201"/>
      <c r="XEF1" s="201"/>
      <c r="XEJ1" s="201"/>
      <c r="XEN1" s="201"/>
      <c r="XER1" s="201"/>
      <c r="XEV1" s="201"/>
      <c r="XEZ1" s="201"/>
      <c r="XFD1" s="201"/>
    </row>
    <row r="2" spans="5:16384" ht="15.75">
      <c r="E2" s="201" t="s">
        <v>466</v>
      </c>
      <c r="H2" s="19"/>
      <c r="L2" s="19"/>
      <c r="P2" s="19"/>
      <c r="T2" s="19"/>
      <c r="X2" s="19"/>
      <c r="AB2" s="19"/>
      <c r="AF2" s="19"/>
      <c r="AJ2" s="19"/>
      <c r="AN2" s="19"/>
      <c r="AR2" s="19"/>
      <c r="AV2" s="19"/>
      <c r="AZ2" s="19"/>
      <c r="BD2" s="19"/>
      <c r="BH2" s="19"/>
      <c r="BL2" s="19"/>
      <c r="BP2" s="19"/>
      <c r="BT2" s="19"/>
      <c r="BX2" s="19"/>
      <c r="CB2" s="19"/>
      <c r="CF2" s="19"/>
      <c r="CJ2" s="19"/>
      <c r="CN2" s="19"/>
      <c r="CR2" s="19"/>
      <c r="CV2" s="19"/>
      <c r="CZ2" s="19"/>
      <c r="DD2" s="19"/>
      <c r="DH2" s="19"/>
      <c r="DL2" s="19"/>
      <c r="DP2" s="19"/>
      <c r="DT2" s="19"/>
      <c r="DX2" s="19"/>
      <c r="EB2" s="19"/>
      <c r="EF2" s="19"/>
      <c r="EJ2" s="19"/>
      <c r="EN2" s="19"/>
      <c r="ER2" s="19"/>
      <c r="EV2" s="19"/>
      <c r="EZ2" s="19"/>
      <c r="FD2" s="19"/>
      <c r="FH2" s="19"/>
      <c r="FL2" s="19"/>
      <c r="FP2" s="19"/>
      <c r="FT2" s="19"/>
      <c r="FX2" s="19"/>
      <c r="GB2" s="19"/>
      <c r="GF2" s="19"/>
      <c r="GJ2" s="19"/>
      <c r="GN2" s="19"/>
      <c r="GR2" s="19"/>
      <c r="GV2" s="19"/>
      <c r="GZ2" s="19"/>
      <c r="HD2" s="19"/>
      <c r="HH2" s="19"/>
      <c r="HL2" s="19"/>
      <c r="HP2" s="19"/>
      <c r="HT2" s="19"/>
      <c r="HX2" s="19"/>
      <c r="IB2" s="19"/>
      <c r="IF2" s="19"/>
      <c r="IJ2" s="19"/>
      <c r="IN2" s="19"/>
      <c r="IR2" s="19"/>
      <c r="IV2" s="19"/>
      <c r="IZ2" s="19"/>
      <c r="JD2" s="19"/>
      <c r="JH2" s="19"/>
      <c r="JL2" s="19"/>
      <c r="JP2" s="19"/>
      <c r="JT2" s="19"/>
      <c r="JX2" s="19"/>
      <c r="KB2" s="19"/>
      <c r="KF2" s="19"/>
      <c r="KJ2" s="19"/>
      <c r="KN2" s="19"/>
      <c r="KR2" s="19"/>
      <c r="KV2" s="19"/>
      <c r="KZ2" s="19"/>
      <c r="LD2" s="19"/>
      <c r="LH2" s="19"/>
      <c r="LL2" s="19"/>
      <c r="LP2" s="19"/>
      <c r="LT2" s="19"/>
      <c r="LX2" s="19"/>
      <c r="MB2" s="19"/>
      <c r="MF2" s="19"/>
      <c r="MJ2" s="19"/>
      <c r="MN2" s="19"/>
      <c r="MR2" s="19"/>
      <c r="MV2" s="19"/>
      <c r="MZ2" s="19"/>
      <c r="ND2" s="19"/>
      <c r="NH2" s="19"/>
      <c r="NL2" s="19"/>
      <c r="NP2" s="19"/>
      <c r="NT2" s="19"/>
      <c r="NX2" s="19"/>
      <c r="OB2" s="19"/>
      <c r="OF2" s="19"/>
      <c r="OJ2" s="19"/>
      <c r="ON2" s="19"/>
      <c r="OR2" s="19"/>
      <c r="OV2" s="19"/>
      <c r="OZ2" s="19"/>
      <c r="PD2" s="19"/>
      <c r="PH2" s="19"/>
      <c r="PL2" s="19"/>
      <c r="PP2" s="19"/>
      <c r="PT2" s="19"/>
      <c r="PX2" s="19"/>
      <c r="QB2" s="19"/>
      <c r="QF2" s="19"/>
      <c r="QJ2" s="19"/>
      <c r="QN2" s="19"/>
      <c r="QR2" s="19"/>
      <c r="QV2" s="19"/>
      <c r="QZ2" s="19"/>
      <c r="RD2" s="19"/>
      <c r="RH2" s="19"/>
      <c r="RL2" s="19"/>
      <c r="RP2" s="19"/>
      <c r="RT2" s="19"/>
      <c r="RX2" s="19"/>
      <c r="SB2" s="19"/>
      <c r="SF2" s="19"/>
      <c r="SJ2" s="19"/>
      <c r="SN2" s="19"/>
      <c r="SR2" s="19"/>
      <c r="SV2" s="19"/>
      <c r="SZ2" s="19"/>
      <c r="TD2" s="19"/>
      <c r="TH2" s="19"/>
      <c r="TL2" s="19"/>
      <c r="TP2" s="19"/>
      <c r="TT2" s="19"/>
      <c r="TX2" s="19"/>
      <c r="UB2" s="19"/>
      <c r="UF2" s="19"/>
      <c r="UJ2" s="19"/>
      <c r="UN2" s="19"/>
      <c r="UR2" s="19"/>
      <c r="UV2" s="19"/>
      <c r="UZ2" s="19"/>
      <c r="VD2" s="19"/>
      <c r="VH2" s="19"/>
      <c r="VL2" s="19"/>
      <c r="VP2" s="19"/>
      <c r="VT2" s="19"/>
      <c r="VX2" s="19"/>
      <c r="WB2" s="19"/>
      <c r="WF2" s="19"/>
      <c r="WJ2" s="19"/>
      <c r="WN2" s="19"/>
      <c r="WR2" s="19"/>
      <c r="WV2" s="19"/>
      <c r="WZ2" s="19"/>
      <c r="XD2" s="19"/>
      <c r="XH2" s="19"/>
      <c r="XL2" s="19"/>
      <c r="XP2" s="19"/>
      <c r="XT2" s="19"/>
      <c r="XX2" s="19"/>
      <c r="YB2" s="19"/>
      <c r="YF2" s="19"/>
      <c r="YJ2" s="19"/>
      <c r="YN2" s="19"/>
      <c r="YR2" s="19"/>
      <c r="YV2" s="19"/>
      <c r="YZ2" s="19"/>
      <c r="ZD2" s="19"/>
      <c r="ZH2" s="19"/>
      <c r="ZL2" s="19"/>
      <c r="ZP2" s="19"/>
      <c r="ZT2" s="19"/>
      <c r="ZX2" s="19"/>
      <c r="AAB2" s="19"/>
      <c r="AAF2" s="19"/>
      <c r="AAJ2" s="19"/>
      <c r="AAN2" s="19"/>
      <c r="AAR2" s="19"/>
      <c r="AAV2" s="19"/>
      <c r="AAZ2" s="19"/>
      <c r="ABD2" s="19"/>
      <c r="ABH2" s="19"/>
      <c r="ABL2" s="19"/>
      <c r="ABP2" s="19"/>
      <c r="ABT2" s="19"/>
      <c r="ABX2" s="19"/>
      <c r="ACB2" s="19"/>
      <c r="ACF2" s="19"/>
      <c r="ACJ2" s="19"/>
      <c r="ACN2" s="19"/>
      <c r="ACR2" s="19"/>
      <c r="ACV2" s="19"/>
      <c r="ACZ2" s="19"/>
      <c r="ADD2" s="19"/>
      <c r="ADH2" s="19"/>
      <c r="ADL2" s="19"/>
      <c r="ADP2" s="19"/>
      <c r="ADT2" s="19"/>
      <c r="ADX2" s="19"/>
      <c r="AEB2" s="19"/>
      <c r="AEF2" s="19"/>
      <c r="AEJ2" s="19"/>
      <c r="AEN2" s="19"/>
      <c r="AER2" s="19"/>
      <c r="AEV2" s="19"/>
      <c r="AEZ2" s="19"/>
      <c r="AFD2" s="19"/>
      <c r="AFH2" s="19"/>
      <c r="AFL2" s="19"/>
      <c r="AFP2" s="19"/>
      <c r="AFT2" s="19"/>
      <c r="AFX2" s="19"/>
      <c r="AGB2" s="19"/>
      <c r="AGF2" s="19"/>
      <c r="AGJ2" s="19"/>
      <c r="AGN2" s="19"/>
      <c r="AGR2" s="19"/>
      <c r="AGV2" s="19"/>
      <c r="AGZ2" s="19"/>
      <c r="AHD2" s="19"/>
      <c r="AHH2" s="19"/>
      <c r="AHL2" s="19"/>
      <c r="AHP2" s="19"/>
      <c r="AHT2" s="19"/>
      <c r="AHX2" s="19"/>
      <c r="AIB2" s="19"/>
      <c r="AIF2" s="19"/>
      <c r="AIJ2" s="19"/>
      <c r="AIN2" s="19"/>
      <c r="AIR2" s="19"/>
      <c r="AIV2" s="19"/>
      <c r="AIZ2" s="19"/>
      <c r="AJD2" s="19"/>
      <c r="AJH2" s="19"/>
      <c r="AJL2" s="19"/>
      <c r="AJP2" s="19"/>
      <c r="AJT2" s="19"/>
      <c r="AJX2" s="19"/>
      <c r="AKB2" s="19"/>
      <c r="AKF2" s="19"/>
      <c r="AKJ2" s="19"/>
      <c r="AKN2" s="19"/>
      <c r="AKR2" s="19"/>
      <c r="AKV2" s="19"/>
      <c r="AKZ2" s="19"/>
      <c r="ALD2" s="19"/>
      <c r="ALH2" s="19"/>
      <c r="ALL2" s="19"/>
      <c r="ALP2" s="19"/>
      <c r="ALT2" s="19"/>
      <c r="ALX2" s="19"/>
      <c r="AMB2" s="19"/>
      <c r="AMF2" s="19"/>
      <c r="AMJ2" s="19"/>
      <c r="AMN2" s="19"/>
      <c r="AMR2" s="19"/>
      <c r="AMV2" s="19"/>
      <c r="AMZ2" s="19"/>
      <c r="AND2" s="19"/>
      <c r="ANH2" s="19"/>
      <c r="ANL2" s="19"/>
      <c r="ANP2" s="19"/>
      <c r="ANT2" s="19"/>
      <c r="ANX2" s="19"/>
      <c r="AOB2" s="19"/>
      <c r="AOF2" s="19"/>
      <c r="AOJ2" s="19"/>
      <c r="AON2" s="19"/>
      <c r="AOR2" s="19"/>
      <c r="AOV2" s="19"/>
      <c r="AOZ2" s="19"/>
      <c r="APD2" s="19"/>
      <c r="APH2" s="19"/>
      <c r="APL2" s="19"/>
      <c r="APP2" s="19"/>
      <c r="APT2" s="19"/>
      <c r="APX2" s="19"/>
      <c r="AQB2" s="19"/>
      <c r="AQF2" s="19"/>
      <c r="AQJ2" s="19"/>
      <c r="AQN2" s="19"/>
      <c r="AQR2" s="19"/>
      <c r="AQV2" s="19"/>
      <c r="AQZ2" s="19"/>
      <c r="ARD2" s="19"/>
      <c r="ARH2" s="19"/>
      <c r="ARL2" s="19"/>
      <c r="ARP2" s="19"/>
      <c r="ART2" s="19"/>
      <c r="ARX2" s="19"/>
      <c r="ASB2" s="19"/>
      <c r="ASF2" s="19"/>
      <c r="ASJ2" s="19"/>
      <c r="ASN2" s="19"/>
      <c r="ASR2" s="19"/>
      <c r="ASV2" s="19"/>
      <c r="ASZ2" s="19"/>
      <c r="ATD2" s="19"/>
      <c r="ATH2" s="19"/>
      <c r="ATL2" s="19"/>
      <c r="ATP2" s="19"/>
      <c r="ATT2" s="19"/>
      <c r="ATX2" s="19"/>
      <c r="AUB2" s="19"/>
      <c r="AUF2" s="19"/>
      <c r="AUJ2" s="19"/>
      <c r="AUN2" s="19"/>
      <c r="AUR2" s="19"/>
      <c r="AUV2" s="19"/>
      <c r="AUZ2" s="19"/>
      <c r="AVD2" s="19"/>
      <c r="AVH2" s="19"/>
      <c r="AVL2" s="19"/>
      <c r="AVP2" s="19"/>
      <c r="AVT2" s="19"/>
      <c r="AVX2" s="19"/>
      <c r="AWB2" s="19"/>
      <c r="AWF2" s="19"/>
      <c r="AWJ2" s="19"/>
      <c r="AWN2" s="19"/>
      <c r="AWR2" s="19"/>
      <c r="AWV2" s="19"/>
      <c r="AWZ2" s="19"/>
      <c r="AXD2" s="19"/>
      <c r="AXH2" s="19"/>
      <c r="AXL2" s="19"/>
      <c r="AXP2" s="19"/>
      <c r="AXT2" s="19"/>
      <c r="AXX2" s="19"/>
      <c r="AYB2" s="19"/>
      <c r="AYF2" s="19"/>
      <c r="AYJ2" s="19"/>
      <c r="AYN2" s="19"/>
      <c r="AYR2" s="19"/>
      <c r="AYV2" s="19"/>
      <c r="AYZ2" s="19"/>
      <c r="AZD2" s="19"/>
      <c r="AZH2" s="19"/>
      <c r="AZL2" s="19"/>
      <c r="AZP2" s="19"/>
      <c r="AZT2" s="19"/>
      <c r="AZX2" s="19"/>
      <c r="BAB2" s="19"/>
      <c r="BAF2" s="19"/>
      <c r="BAJ2" s="19"/>
      <c r="BAN2" s="19"/>
      <c r="BAR2" s="19"/>
      <c r="BAV2" s="19"/>
      <c r="BAZ2" s="19"/>
      <c r="BBD2" s="19"/>
      <c r="BBH2" s="19"/>
      <c r="BBL2" s="19"/>
      <c r="BBP2" s="19"/>
      <c r="BBT2" s="19"/>
      <c r="BBX2" s="19"/>
      <c r="BCB2" s="19"/>
      <c r="BCF2" s="19"/>
      <c r="BCJ2" s="19"/>
      <c r="BCN2" s="19"/>
      <c r="BCR2" s="19"/>
      <c r="BCV2" s="19"/>
      <c r="BCZ2" s="19"/>
      <c r="BDD2" s="19"/>
      <c r="BDH2" s="19"/>
      <c r="BDL2" s="19"/>
      <c r="BDP2" s="19"/>
      <c r="BDT2" s="19"/>
      <c r="BDX2" s="19"/>
      <c r="BEB2" s="19"/>
      <c r="BEF2" s="19"/>
      <c r="BEJ2" s="19"/>
      <c r="BEN2" s="19"/>
      <c r="BER2" s="19"/>
      <c r="BEV2" s="19"/>
      <c r="BEZ2" s="19"/>
      <c r="BFD2" s="19"/>
      <c r="BFH2" s="19"/>
      <c r="BFL2" s="19"/>
      <c r="BFP2" s="19"/>
      <c r="BFT2" s="19"/>
      <c r="BFX2" s="19"/>
      <c r="BGB2" s="19"/>
      <c r="BGF2" s="19"/>
      <c r="BGJ2" s="19"/>
      <c r="BGN2" s="19"/>
      <c r="BGR2" s="19"/>
      <c r="BGV2" s="19"/>
      <c r="BGZ2" s="19"/>
      <c r="BHD2" s="19"/>
      <c r="BHH2" s="19"/>
      <c r="BHL2" s="19"/>
      <c r="BHP2" s="19"/>
      <c r="BHT2" s="19"/>
      <c r="BHX2" s="19"/>
      <c r="BIB2" s="19"/>
      <c r="BIF2" s="19"/>
      <c r="BIJ2" s="19"/>
      <c r="BIN2" s="19"/>
      <c r="BIR2" s="19"/>
      <c r="BIV2" s="19"/>
      <c r="BIZ2" s="19"/>
      <c r="BJD2" s="19"/>
      <c r="BJH2" s="19"/>
      <c r="BJL2" s="19"/>
      <c r="BJP2" s="19"/>
      <c r="BJT2" s="19"/>
      <c r="BJX2" s="19"/>
      <c r="BKB2" s="19"/>
      <c r="BKF2" s="19"/>
      <c r="BKJ2" s="19"/>
      <c r="BKN2" s="19"/>
      <c r="BKR2" s="19"/>
      <c r="BKV2" s="19"/>
      <c r="BKZ2" s="19"/>
      <c r="BLD2" s="19"/>
      <c r="BLH2" s="19"/>
      <c r="BLL2" s="19"/>
      <c r="BLP2" s="19"/>
      <c r="BLT2" s="19"/>
      <c r="BLX2" s="19"/>
      <c r="BMB2" s="19"/>
      <c r="BMF2" s="19"/>
      <c r="BMJ2" s="19"/>
      <c r="BMN2" s="19"/>
      <c r="BMR2" s="19"/>
      <c r="BMV2" s="19"/>
      <c r="BMZ2" s="19"/>
      <c r="BND2" s="19"/>
      <c r="BNH2" s="19"/>
      <c r="BNL2" s="19"/>
      <c r="BNP2" s="19"/>
      <c r="BNT2" s="19"/>
      <c r="BNX2" s="19"/>
      <c r="BOB2" s="19"/>
      <c r="BOF2" s="19"/>
      <c r="BOJ2" s="19"/>
      <c r="BON2" s="19"/>
      <c r="BOR2" s="19"/>
      <c r="BOV2" s="19"/>
      <c r="BOZ2" s="19"/>
      <c r="BPD2" s="19"/>
      <c r="BPH2" s="19"/>
      <c r="BPL2" s="19"/>
      <c r="BPP2" s="19"/>
      <c r="BPT2" s="19"/>
      <c r="BPX2" s="19"/>
      <c r="BQB2" s="19"/>
      <c r="BQF2" s="19"/>
      <c r="BQJ2" s="19"/>
      <c r="BQN2" s="19"/>
      <c r="BQR2" s="19"/>
      <c r="BQV2" s="19"/>
      <c r="BQZ2" s="19"/>
      <c r="BRD2" s="19"/>
      <c r="BRH2" s="19"/>
      <c r="BRL2" s="19"/>
      <c r="BRP2" s="19"/>
      <c r="BRT2" s="19"/>
      <c r="BRX2" s="19"/>
      <c r="BSB2" s="19"/>
      <c r="BSF2" s="19"/>
      <c r="BSJ2" s="19"/>
      <c r="BSN2" s="19"/>
      <c r="BSR2" s="19"/>
      <c r="BSV2" s="19"/>
      <c r="BSZ2" s="19"/>
      <c r="BTD2" s="19"/>
      <c r="BTH2" s="19"/>
      <c r="BTL2" s="19"/>
      <c r="BTP2" s="19"/>
      <c r="BTT2" s="19"/>
      <c r="BTX2" s="19"/>
      <c r="BUB2" s="19"/>
      <c r="BUF2" s="19"/>
      <c r="BUJ2" s="19"/>
      <c r="BUN2" s="19"/>
      <c r="BUR2" s="19"/>
      <c r="BUV2" s="19"/>
      <c r="BUZ2" s="19"/>
      <c r="BVD2" s="19"/>
      <c r="BVH2" s="19"/>
      <c r="BVL2" s="19"/>
      <c r="BVP2" s="19"/>
      <c r="BVT2" s="19"/>
      <c r="BVX2" s="19"/>
      <c r="BWB2" s="19"/>
      <c r="BWF2" s="19"/>
      <c r="BWJ2" s="19"/>
      <c r="BWN2" s="19"/>
      <c r="BWR2" s="19"/>
      <c r="BWV2" s="19"/>
      <c r="BWZ2" s="19"/>
      <c r="BXD2" s="19"/>
      <c r="BXH2" s="19"/>
      <c r="BXL2" s="19"/>
      <c r="BXP2" s="19"/>
      <c r="BXT2" s="19"/>
      <c r="BXX2" s="19"/>
      <c r="BYB2" s="19"/>
      <c r="BYF2" s="19"/>
      <c r="BYJ2" s="19"/>
      <c r="BYN2" s="19"/>
      <c r="BYR2" s="19"/>
      <c r="BYV2" s="19"/>
      <c r="BYZ2" s="19"/>
      <c r="BZD2" s="19"/>
      <c r="BZH2" s="19"/>
      <c r="BZL2" s="19"/>
      <c r="BZP2" s="19"/>
      <c r="BZT2" s="19"/>
      <c r="BZX2" s="19"/>
      <c r="CAB2" s="19"/>
      <c r="CAF2" s="19"/>
      <c r="CAJ2" s="19"/>
      <c r="CAN2" s="19"/>
      <c r="CAR2" s="19"/>
      <c r="CAV2" s="19"/>
      <c r="CAZ2" s="19"/>
      <c r="CBD2" s="19"/>
      <c r="CBH2" s="19"/>
      <c r="CBL2" s="19"/>
      <c r="CBP2" s="19"/>
      <c r="CBT2" s="19"/>
      <c r="CBX2" s="19"/>
      <c r="CCB2" s="19"/>
      <c r="CCF2" s="19"/>
      <c r="CCJ2" s="19"/>
      <c r="CCN2" s="19"/>
      <c r="CCR2" s="19"/>
      <c r="CCV2" s="19"/>
      <c r="CCZ2" s="19"/>
      <c r="CDD2" s="19"/>
      <c r="CDH2" s="19"/>
      <c r="CDL2" s="19"/>
      <c r="CDP2" s="19"/>
      <c r="CDT2" s="19"/>
      <c r="CDX2" s="19"/>
      <c r="CEB2" s="19"/>
      <c r="CEF2" s="19"/>
      <c r="CEJ2" s="19"/>
      <c r="CEN2" s="19"/>
      <c r="CER2" s="19"/>
      <c r="CEV2" s="19"/>
      <c r="CEZ2" s="19"/>
      <c r="CFD2" s="19"/>
      <c r="CFH2" s="19"/>
      <c r="CFL2" s="19"/>
      <c r="CFP2" s="19"/>
      <c r="CFT2" s="19"/>
      <c r="CFX2" s="19"/>
      <c r="CGB2" s="19"/>
      <c r="CGF2" s="19"/>
      <c r="CGJ2" s="19"/>
      <c r="CGN2" s="19"/>
      <c r="CGR2" s="19"/>
      <c r="CGV2" s="19"/>
      <c r="CGZ2" s="19"/>
      <c r="CHD2" s="19"/>
      <c r="CHH2" s="19"/>
      <c r="CHL2" s="19"/>
      <c r="CHP2" s="19"/>
      <c r="CHT2" s="19"/>
      <c r="CHX2" s="19"/>
      <c r="CIB2" s="19"/>
      <c r="CIF2" s="19"/>
      <c r="CIJ2" s="19"/>
      <c r="CIN2" s="19"/>
      <c r="CIR2" s="19"/>
      <c r="CIV2" s="19"/>
      <c r="CIZ2" s="19"/>
      <c r="CJD2" s="19"/>
      <c r="CJH2" s="19"/>
      <c r="CJL2" s="19"/>
      <c r="CJP2" s="19"/>
      <c r="CJT2" s="19"/>
      <c r="CJX2" s="19"/>
      <c r="CKB2" s="19"/>
      <c r="CKF2" s="19"/>
      <c r="CKJ2" s="19"/>
      <c r="CKN2" s="19"/>
      <c r="CKR2" s="19"/>
      <c r="CKV2" s="19"/>
      <c r="CKZ2" s="19"/>
      <c r="CLD2" s="19"/>
      <c r="CLH2" s="19"/>
      <c r="CLL2" s="19"/>
      <c r="CLP2" s="19"/>
      <c r="CLT2" s="19"/>
      <c r="CLX2" s="19"/>
      <c r="CMB2" s="19"/>
      <c r="CMF2" s="19"/>
      <c r="CMJ2" s="19"/>
      <c r="CMN2" s="19"/>
      <c r="CMR2" s="19"/>
      <c r="CMV2" s="19"/>
      <c r="CMZ2" s="19"/>
      <c r="CND2" s="19"/>
      <c r="CNH2" s="19"/>
      <c r="CNL2" s="19"/>
      <c r="CNP2" s="19"/>
      <c r="CNT2" s="19"/>
      <c r="CNX2" s="19"/>
      <c r="COB2" s="19"/>
      <c r="COF2" s="19"/>
      <c r="COJ2" s="19"/>
      <c r="CON2" s="19"/>
      <c r="COR2" s="19"/>
      <c r="COV2" s="19"/>
      <c r="COZ2" s="19"/>
      <c r="CPD2" s="19"/>
      <c r="CPH2" s="19"/>
      <c r="CPL2" s="19"/>
      <c r="CPP2" s="19"/>
      <c r="CPT2" s="19"/>
      <c r="CPX2" s="19"/>
      <c r="CQB2" s="19"/>
      <c r="CQF2" s="19"/>
      <c r="CQJ2" s="19"/>
      <c r="CQN2" s="19"/>
      <c r="CQR2" s="19"/>
      <c r="CQV2" s="19"/>
      <c r="CQZ2" s="19"/>
      <c r="CRD2" s="19"/>
      <c r="CRH2" s="19"/>
      <c r="CRL2" s="19"/>
      <c r="CRP2" s="19"/>
      <c r="CRT2" s="19"/>
      <c r="CRX2" s="19"/>
      <c r="CSB2" s="19"/>
      <c r="CSF2" s="19"/>
      <c r="CSJ2" s="19"/>
      <c r="CSN2" s="19"/>
      <c r="CSR2" s="19"/>
      <c r="CSV2" s="19"/>
      <c r="CSZ2" s="19"/>
      <c r="CTD2" s="19"/>
      <c r="CTH2" s="19"/>
      <c r="CTL2" s="19"/>
      <c r="CTP2" s="19"/>
      <c r="CTT2" s="19"/>
      <c r="CTX2" s="19"/>
      <c r="CUB2" s="19"/>
      <c r="CUF2" s="19"/>
      <c r="CUJ2" s="19"/>
      <c r="CUN2" s="19"/>
      <c r="CUR2" s="19"/>
      <c r="CUV2" s="19"/>
      <c r="CUZ2" s="19"/>
      <c r="CVD2" s="19"/>
      <c r="CVH2" s="19"/>
      <c r="CVL2" s="19"/>
      <c r="CVP2" s="19"/>
      <c r="CVT2" s="19"/>
      <c r="CVX2" s="19"/>
      <c r="CWB2" s="19"/>
      <c r="CWF2" s="19"/>
      <c r="CWJ2" s="19"/>
      <c r="CWN2" s="19"/>
      <c r="CWR2" s="19"/>
      <c r="CWV2" s="19"/>
      <c r="CWZ2" s="19"/>
      <c r="CXD2" s="19"/>
      <c r="CXH2" s="19"/>
      <c r="CXL2" s="19"/>
      <c r="CXP2" s="19"/>
      <c r="CXT2" s="19"/>
      <c r="CXX2" s="19"/>
      <c r="CYB2" s="19"/>
      <c r="CYF2" s="19"/>
      <c r="CYJ2" s="19"/>
      <c r="CYN2" s="19"/>
      <c r="CYR2" s="19"/>
      <c r="CYV2" s="19"/>
      <c r="CYZ2" s="19"/>
      <c r="CZD2" s="19"/>
      <c r="CZH2" s="19"/>
      <c r="CZL2" s="19"/>
      <c r="CZP2" s="19"/>
      <c r="CZT2" s="19"/>
      <c r="CZX2" s="19"/>
      <c r="DAB2" s="19"/>
      <c r="DAF2" s="19"/>
      <c r="DAJ2" s="19"/>
      <c r="DAN2" s="19"/>
      <c r="DAR2" s="19"/>
      <c r="DAV2" s="19"/>
      <c r="DAZ2" s="19"/>
      <c r="DBD2" s="19"/>
      <c r="DBH2" s="19"/>
      <c r="DBL2" s="19"/>
      <c r="DBP2" s="19"/>
      <c r="DBT2" s="19"/>
      <c r="DBX2" s="19"/>
      <c r="DCB2" s="19"/>
      <c r="DCF2" s="19"/>
      <c r="DCJ2" s="19"/>
      <c r="DCN2" s="19"/>
      <c r="DCR2" s="19"/>
      <c r="DCV2" s="19"/>
      <c r="DCZ2" s="19"/>
      <c r="DDD2" s="19"/>
      <c r="DDH2" s="19"/>
      <c r="DDL2" s="19"/>
      <c r="DDP2" s="19"/>
      <c r="DDT2" s="19"/>
      <c r="DDX2" s="19"/>
      <c r="DEB2" s="19"/>
      <c r="DEF2" s="19"/>
      <c r="DEJ2" s="19"/>
      <c r="DEN2" s="19"/>
      <c r="DER2" s="19"/>
      <c r="DEV2" s="19"/>
      <c r="DEZ2" s="19"/>
      <c r="DFD2" s="19"/>
      <c r="DFH2" s="19"/>
      <c r="DFL2" s="19"/>
      <c r="DFP2" s="19"/>
      <c r="DFT2" s="19"/>
      <c r="DFX2" s="19"/>
      <c r="DGB2" s="19"/>
      <c r="DGF2" s="19"/>
      <c r="DGJ2" s="19"/>
      <c r="DGN2" s="19"/>
      <c r="DGR2" s="19"/>
      <c r="DGV2" s="19"/>
      <c r="DGZ2" s="19"/>
      <c r="DHD2" s="19"/>
      <c r="DHH2" s="19"/>
      <c r="DHL2" s="19"/>
      <c r="DHP2" s="19"/>
      <c r="DHT2" s="19"/>
      <c r="DHX2" s="19"/>
      <c r="DIB2" s="19"/>
      <c r="DIF2" s="19"/>
      <c r="DIJ2" s="19"/>
      <c r="DIN2" s="19"/>
      <c r="DIR2" s="19"/>
      <c r="DIV2" s="19"/>
      <c r="DIZ2" s="19"/>
      <c r="DJD2" s="19"/>
      <c r="DJH2" s="19"/>
      <c r="DJL2" s="19"/>
      <c r="DJP2" s="19"/>
      <c r="DJT2" s="19"/>
      <c r="DJX2" s="19"/>
      <c r="DKB2" s="19"/>
      <c r="DKF2" s="19"/>
      <c r="DKJ2" s="19"/>
      <c r="DKN2" s="19"/>
      <c r="DKR2" s="19"/>
      <c r="DKV2" s="19"/>
      <c r="DKZ2" s="19"/>
      <c r="DLD2" s="19"/>
      <c r="DLH2" s="19"/>
      <c r="DLL2" s="19"/>
      <c r="DLP2" s="19"/>
      <c r="DLT2" s="19"/>
      <c r="DLX2" s="19"/>
      <c r="DMB2" s="19"/>
      <c r="DMF2" s="19"/>
      <c r="DMJ2" s="19"/>
      <c r="DMN2" s="19"/>
      <c r="DMR2" s="19"/>
      <c r="DMV2" s="19"/>
      <c r="DMZ2" s="19"/>
      <c r="DND2" s="19"/>
      <c r="DNH2" s="19"/>
      <c r="DNL2" s="19"/>
      <c r="DNP2" s="19"/>
      <c r="DNT2" s="19"/>
      <c r="DNX2" s="19"/>
      <c r="DOB2" s="19"/>
      <c r="DOF2" s="19"/>
      <c r="DOJ2" s="19"/>
      <c r="DON2" s="19"/>
      <c r="DOR2" s="19"/>
      <c r="DOV2" s="19"/>
      <c r="DOZ2" s="19"/>
      <c r="DPD2" s="19"/>
      <c r="DPH2" s="19"/>
      <c r="DPL2" s="19"/>
      <c r="DPP2" s="19"/>
      <c r="DPT2" s="19"/>
      <c r="DPX2" s="19"/>
      <c r="DQB2" s="19"/>
      <c r="DQF2" s="19"/>
      <c r="DQJ2" s="19"/>
      <c r="DQN2" s="19"/>
      <c r="DQR2" s="19"/>
      <c r="DQV2" s="19"/>
      <c r="DQZ2" s="19"/>
      <c r="DRD2" s="19"/>
      <c r="DRH2" s="19"/>
      <c r="DRL2" s="19"/>
      <c r="DRP2" s="19"/>
      <c r="DRT2" s="19"/>
      <c r="DRX2" s="19"/>
      <c r="DSB2" s="19"/>
      <c r="DSF2" s="19"/>
      <c r="DSJ2" s="19"/>
      <c r="DSN2" s="19"/>
      <c r="DSR2" s="19"/>
      <c r="DSV2" s="19"/>
      <c r="DSZ2" s="19"/>
      <c r="DTD2" s="19"/>
      <c r="DTH2" s="19"/>
      <c r="DTL2" s="19"/>
      <c r="DTP2" s="19"/>
      <c r="DTT2" s="19"/>
      <c r="DTX2" s="19"/>
      <c r="DUB2" s="19"/>
      <c r="DUF2" s="19"/>
      <c r="DUJ2" s="19"/>
      <c r="DUN2" s="19"/>
      <c r="DUR2" s="19"/>
      <c r="DUV2" s="19"/>
      <c r="DUZ2" s="19"/>
      <c r="DVD2" s="19"/>
      <c r="DVH2" s="19"/>
      <c r="DVL2" s="19"/>
      <c r="DVP2" s="19"/>
      <c r="DVT2" s="19"/>
      <c r="DVX2" s="19"/>
      <c r="DWB2" s="19"/>
      <c r="DWF2" s="19"/>
      <c r="DWJ2" s="19"/>
      <c r="DWN2" s="19"/>
      <c r="DWR2" s="19"/>
      <c r="DWV2" s="19"/>
      <c r="DWZ2" s="19"/>
      <c r="DXD2" s="19"/>
      <c r="DXH2" s="19"/>
      <c r="DXL2" s="19"/>
      <c r="DXP2" s="19"/>
      <c r="DXT2" s="19"/>
      <c r="DXX2" s="19"/>
      <c r="DYB2" s="19"/>
      <c r="DYF2" s="19"/>
      <c r="DYJ2" s="19"/>
      <c r="DYN2" s="19"/>
      <c r="DYR2" s="19"/>
      <c r="DYV2" s="19"/>
      <c r="DYZ2" s="19"/>
      <c r="DZD2" s="19"/>
      <c r="DZH2" s="19"/>
      <c r="DZL2" s="19"/>
      <c r="DZP2" s="19"/>
      <c r="DZT2" s="19"/>
      <c r="DZX2" s="19"/>
      <c r="EAB2" s="19"/>
      <c r="EAF2" s="19"/>
      <c r="EAJ2" s="19"/>
      <c r="EAN2" s="19"/>
      <c r="EAR2" s="19"/>
      <c r="EAV2" s="19"/>
      <c r="EAZ2" s="19"/>
      <c r="EBD2" s="19"/>
      <c r="EBH2" s="19"/>
      <c r="EBL2" s="19"/>
      <c r="EBP2" s="19"/>
      <c r="EBT2" s="19"/>
      <c r="EBX2" s="19"/>
      <c r="ECB2" s="19"/>
      <c r="ECF2" s="19"/>
      <c r="ECJ2" s="19"/>
      <c r="ECN2" s="19"/>
      <c r="ECR2" s="19"/>
      <c r="ECV2" s="19"/>
      <c r="ECZ2" s="19"/>
      <c r="EDD2" s="19"/>
      <c r="EDH2" s="19"/>
      <c r="EDL2" s="19"/>
      <c r="EDP2" s="19"/>
      <c r="EDT2" s="19"/>
      <c r="EDX2" s="19"/>
      <c r="EEB2" s="19"/>
      <c r="EEF2" s="19"/>
      <c r="EEJ2" s="19"/>
      <c r="EEN2" s="19"/>
      <c r="EER2" s="19"/>
      <c r="EEV2" s="19"/>
      <c r="EEZ2" s="19"/>
      <c r="EFD2" s="19"/>
      <c r="EFH2" s="19"/>
      <c r="EFL2" s="19"/>
      <c r="EFP2" s="19"/>
      <c r="EFT2" s="19"/>
      <c r="EFX2" s="19"/>
      <c r="EGB2" s="19"/>
      <c r="EGF2" s="19"/>
      <c r="EGJ2" s="19"/>
      <c r="EGN2" s="19"/>
      <c r="EGR2" s="19"/>
      <c r="EGV2" s="19"/>
      <c r="EGZ2" s="19"/>
      <c r="EHD2" s="19"/>
      <c r="EHH2" s="19"/>
      <c r="EHL2" s="19"/>
      <c r="EHP2" s="19"/>
      <c r="EHT2" s="19"/>
      <c r="EHX2" s="19"/>
      <c r="EIB2" s="19"/>
      <c r="EIF2" s="19"/>
      <c r="EIJ2" s="19"/>
      <c r="EIN2" s="19"/>
      <c r="EIR2" s="19"/>
      <c r="EIV2" s="19"/>
      <c r="EIZ2" s="19"/>
      <c r="EJD2" s="19"/>
      <c r="EJH2" s="19"/>
      <c r="EJL2" s="19"/>
      <c r="EJP2" s="19"/>
      <c r="EJT2" s="19"/>
      <c r="EJX2" s="19"/>
      <c r="EKB2" s="19"/>
      <c r="EKF2" s="19"/>
      <c r="EKJ2" s="19"/>
      <c r="EKN2" s="19"/>
      <c r="EKR2" s="19"/>
      <c r="EKV2" s="19"/>
      <c r="EKZ2" s="19"/>
      <c r="ELD2" s="19"/>
      <c r="ELH2" s="19"/>
      <c r="ELL2" s="19"/>
      <c r="ELP2" s="19"/>
      <c r="ELT2" s="19"/>
      <c r="ELX2" s="19"/>
      <c r="EMB2" s="19"/>
      <c r="EMF2" s="19"/>
      <c r="EMJ2" s="19"/>
      <c r="EMN2" s="19"/>
      <c r="EMR2" s="19"/>
      <c r="EMV2" s="19"/>
      <c r="EMZ2" s="19"/>
      <c r="END2" s="19"/>
      <c r="ENH2" s="19"/>
      <c r="ENL2" s="19"/>
      <c r="ENP2" s="19"/>
      <c r="ENT2" s="19"/>
      <c r="ENX2" s="19"/>
      <c r="EOB2" s="19"/>
      <c r="EOF2" s="19"/>
      <c r="EOJ2" s="19"/>
      <c r="EON2" s="19"/>
      <c r="EOR2" s="19"/>
      <c r="EOV2" s="19"/>
      <c r="EOZ2" s="19"/>
      <c r="EPD2" s="19"/>
      <c r="EPH2" s="19"/>
      <c r="EPL2" s="19"/>
      <c r="EPP2" s="19"/>
      <c r="EPT2" s="19"/>
      <c r="EPX2" s="19"/>
      <c r="EQB2" s="19"/>
      <c r="EQF2" s="19"/>
      <c r="EQJ2" s="19"/>
      <c r="EQN2" s="19"/>
      <c r="EQR2" s="19"/>
      <c r="EQV2" s="19"/>
      <c r="EQZ2" s="19"/>
      <c r="ERD2" s="19"/>
      <c r="ERH2" s="19"/>
      <c r="ERL2" s="19"/>
      <c r="ERP2" s="19"/>
      <c r="ERT2" s="19"/>
      <c r="ERX2" s="19"/>
      <c r="ESB2" s="19"/>
      <c r="ESF2" s="19"/>
      <c r="ESJ2" s="19"/>
      <c r="ESN2" s="19"/>
      <c r="ESR2" s="19"/>
      <c r="ESV2" s="19"/>
      <c r="ESZ2" s="19"/>
      <c r="ETD2" s="19"/>
      <c r="ETH2" s="19"/>
      <c r="ETL2" s="19"/>
      <c r="ETP2" s="19"/>
      <c r="ETT2" s="19"/>
      <c r="ETX2" s="19"/>
      <c r="EUB2" s="19"/>
      <c r="EUF2" s="19"/>
      <c r="EUJ2" s="19"/>
      <c r="EUN2" s="19"/>
      <c r="EUR2" s="19"/>
      <c r="EUV2" s="19"/>
      <c r="EUZ2" s="19"/>
      <c r="EVD2" s="19"/>
      <c r="EVH2" s="19"/>
      <c r="EVL2" s="19"/>
      <c r="EVP2" s="19"/>
      <c r="EVT2" s="19"/>
      <c r="EVX2" s="19"/>
      <c r="EWB2" s="19"/>
      <c r="EWF2" s="19"/>
      <c r="EWJ2" s="19"/>
      <c r="EWN2" s="19"/>
      <c r="EWR2" s="19"/>
      <c r="EWV2" s="19"/>
      <c r="EWZ2" s="19"/>
      <c r="EXD2" s="19"/>
      <c r="EXH2" s="19"/>
      <c r="EXL2" s="19"/>
      <c r="EXP2" s="19"/>
      <c r="EXT2" s="19"/>
      <c r="EXX2" s="19"/>
      <c r="EYB2" s="19"/>
      <c r="EYF2" s="19"/>
      <c r="EYJ2" s="19"/>
      <c r="EYN2" s="19"/>
      <c r="EYR2" s="19"/>
      <c r="EYV2" s="19"/>
      <c r="EYZ2" s="19"/>
      <c r="EZD2" s="19"/>
      <c r="EZH2" s="19"/>
      <c r="EZL2" s="19"/>
      <c r="EZP2" s="19"/>
      <c r="EZT2" s="19"/>
      <c r="EZX2" s="19"/>
      <c r="FAB2" s="19"/>
      <c r="FAF2" s="19"/>
      <c r="FAJ2" s="19"/>
      <c r="FAN2" s="19"/>
      <c r="FAR2" s="19"/>
      <c r="FAV2" s="19"/>
      <c r="FAZ2" s="19"/>
      <c r="FBD2" s="19"/>
      <c r="FBH2" s="19"/>
      <c r="FBL2" s="19"/>
      <c r="FBP2" s="19"/>
      <c r="FBT2" s="19"/>
      <c r="FBX2" s="19"/>
      <c r="FCB2" s="19"/>
      <c r="FCF2" s="19"/>
      <c r="FCJ2" s="19"/>
      <c r="FCN2" s="19"/>
      <c r="FCR2" s="19"/>
      <c r="FCV2" s="19"/>
      <c r="FCZ2" s="19"/>
      <c r="FDD2" s="19"/>
      <c r="FDH2" s="19"/>
      <c r="FDL2" s="19"/>
      <c r="FDP2" s="19"/>
      <c r="FDT2" s="19"/>
      <c r="FDX2" s="19"/>
      <c r="FEB2" s="19"/>
      <c r="FEF2" s="19"/>
      <c r="FEJ2" s="19"/>
      <c r="FEN2" s="19"/>
      <c r="FER2" s="19"/>
      <c r="FEV2" s="19"/>
      <c r="FEZ2" s="19"/>
      <c r="FFD2" s="19"/>
      <c r="FFH2" s="19"/>
      <c r="FFL2" s="19"/>
      <c r="FFP2" s="19"/>
      <c r="FFT2" s="19"/>
      <c r="FFX2" s="19"/>
      <c r="FGB2" s="19"/>
      <c r="FGF2" s="19"/>
      <c r="FGJ2" s="19"/>
      <c r="FGN2" s="19"/>
      <c r="FGR2" s="19"/>
      <c r="FGV2" s="19"/>
      <c r="FGZ2" s="19"/>
      <c r="FHD2" s="19"/>
      <c r="FHH2" s="19"/>
      <c r="FHL2" s="19"/>
      <c r="FHP2" s="19"/>
      <c r="FHT2" s="19"/>
      <c r="FHX2" s="19"/>
      <c r="FIB2" s="19"/>
      <c r="FIF2" s="19"/>
      <c r="FIJ2" s="19"/>
      <c r="FIN2" s="19"/>
      <c r="FIR2" s="19"/>
      <c r="FIV2" s="19"/>
      <c r="FIZ2" s="19"/>
      <c r="FJD2" s="19"/>
      <c r="FJH2" s="19"/>
      <c r="FJL2" s="19"/>
      <c r="FJP2" s="19"/>
      <c r="FJT2" s="19"/>
      <c r="FJX2" s="19"/>
      <c r="FKB2" s="19"/>
      <c r="FKF2" s="19"/>
      <c r="FKJ2" s="19"/>
      <c r="FKN2" s="19"/>
      <c r="FKR2" s="19"/>
      <c r="FKV2" s="19"/>
      <c r="FKZ2" s="19"/>
      <c r="FLD2" s="19"/>
      <c r="FLH2" s="19"/>
      <c r="FLL2" s="19"/>
      <c r="FLP2" s="19"/>
      <c r="FLT2" s="19"/>
      <c r="FLX2" s="19"/>
      <c r="FMB2" s="19"/>
      <c r="FMF2" s="19"/>
      <c r="FMJ2" s="19"/>
      <c r="FMN2" s="19"/>
      <c r="FMR2" s="19"/>
      <c r="FMV2" s="19"/>
      <c r="FMZ2" s="19"/>
      <c r="FND2" s="19"/>
      <c r="FNH2" s="19"/>
      <c r="FNL2" s="19"/>
      <c r="FNP2" s="19"/>
      <c r="FNT2" s="19"/>
      <c r="FNX2" s="19"/>
      <c r="FOB2" s="19"/>
      <c r="FOF2" s="19"/>
      <c r="FOJ2" s="19"/>
      <c r="FON2" s="19"/>
      <c r="FOR2" s="19"/>
      <c r="FOV2" s="19"/>
      <c r="FOZ2" s="19"/>
      <c r="FPD2" s="19"/>
      <c r="FPH2" s="19"/>
      <c r="FPL2" s="19"/>
      <c r="FPP2" s="19"/>
      <c r="FPT2" s="19"/>
      <c r="FPX2" s="19"/>
      <c r="FQB2" s="19"/>
      <c r="FQF2" s="19"/>
      <c r="FQJ2" s="19"/>
      <c r="FQN2" s="19"/>
      <c r="FQR2" s="19"/>
      <c r="FQV2" s="19"/>
      <c r="FQZ2" s="19"/>
      <c r="FRD2" s="19"/>
      <c r="FRH2" s="19"/>
      <c r="FRL2" s="19"/>
      <c r="FRP2" s="19"/>
      <c r="FRT2" s="19"/>
      <c r="FRX2" s="19"/>
      <c r="FSB2" s="19"/>
      <c r="FSF2" s="19"/>
      <c r="FSJ2" s="19"/>
      <c r="FSN2" s="19"/>
      <c r="FSR2" s="19"/>
      <c r="FSV2" s="19"/>
      <c r="FSZ2" s="19"/>
      <c r="FTD2" s="19"/>
      <c r="FTH2" s="19"/>
      <c r="FTL2" s="19"/>
      <c r="FTP2" s="19"/>
      <c r="FTT2" s="19"/>
      <c r="FTX2" s="19"/>
      <c r="FUB2" s="19"/>
      <c r="FUF2" s="19"/>
      <c r="FUJ2" s="19"/>
      <c r="FUN2" s="19"/>
      <c r="FUR2" s="19"/>
      <c r="FUV2" s="19"/>
      <c r="FUZ2" s="19"/>
      <c r="FVD2" s="19"/>
      <c r="FVH2" s="19"/>
      <c r="FVL2" s="19"/>
      <c r="FVP2" s="19"/>
      <c r="FVT2" s="19"/>
      <c r="FVX2" s="19"/>
      <c r="FWB2" s="19"/>
      <c r="FWF2" s="19"/>
      <c r="FWJ2" s="19"/>
      <c r="FWN2" s="19"/>
      <c r="FWR2" s="19"/>
      <c r="FWV2" s="19"/>
      <c r="FWZ2" s="19"/>
      <c r="FXD2" s="19"/>
      <c r="FXH2" s="19"/>
      <c r="FXL2" s="19"/>
      <c r="FXP2" s="19"/>
      <c r="FXT2" s="19"/>
      <c r="FXX2" s="19"/>
      <c r="FYB2" s="19"/>
      <c r="FYF2" s="19"/>
      <c r="FYJ2" s="19"/>
      <c r="FYN2" s="19"/>
      <c r="FYR2" s="19"/>
      <c r="FYV2" s="19"/>
      <c r="FYZ2" s="19"/>
      <c r="FZD2" s="19"/>
      <c r="FZH2" s="19"/>
      <c r="FZL2" s="19"/>
      <c r="FZP2" s="19"/>
      <c r="FZT2" s="19"/>
      <c r="FZX2" s="19"/>
      <c r="GAB2" s="19"/>
      <c r="GAF2" s="19"/>
      <c r="GAJ2" s="19"/>
      <c r="GAN2" s="19"/>
      <c r="GAR2" s="19"/>
      <c r="GAV2" s="19"/>
      <c r="GAZ2" s="19"/>
      <c r="GBD2" s="19"/>
      <c r="GBH2" s="19"/>
      <c r="GBL2" s="19"/>
      <c r="GBP2" s="19"/>
      <c r="GBT2" s="19"/>
      <c r="GBX2" s="19"/>
      <c r="GCB2" s="19"/>
      <c r="GCF2" s="19"/>
      <c r="GCJ2" s="19"/>
      <c r="GCN2" s="19"/>
      <c r="GCR2" s="19"/>
      <c r="GCV2" s="19"/>
      <c r="GCZ2" s="19"/>
      <c r="GDD2" s="19"/>
      <c r="GDH2" s="19"/>
      <c r="GDL2" s="19"/>
      <c r="GDP2" s="19"/>
      <c r="GDT2" s="19"/>
      <c r="GDX2" s="19"/>
      <c r="GEB2" s="19"/>
      <c r="GEF2" s="19"/>
      <c r="GEJ2" s="19"/>
      <c r="GEN2" s="19"/>
      <c r="GER2" s="19"/>
      <c r="GEV2" s="19"/>
      <c r="GEZ2" s="19"/>
      <c r="GFD2" s="19"/>
      <c r="GFH2" s="19"/>
      <c r="GFL2" s="19"/>
      <c r="GFP2" s="19"/>
      <c r="GFT2" s="19"/>
      <c r="GFX2" s="19"/>
      <c r="GGB2" s="19"/>
      <c r="GGF2" s="19"/>
      <c r="GGJ2" s="19"/>
      <c r="GGN2" s="19"/>
      <c r="GGR2" s="19"/>
      <c r="GGV2" s="19"/>
      <c r="GGZ2" s="19"/>
      <c r="GHD2" s="19"/>
      <c r="GHH2" s="19"/>
      <c r="GHL2" s="19"/>
      <c r="GHP2" s="19"/>
      <c r="GHT2" s="19"/>
      <c r="GHX2" s="19"/>
      <c r="GIB2" s="19"/>
      <c r="GIF2" s="19"/>
      <c r="GIJ2" s="19"/>
      <c r="GIN2" s="19"/>
      <c r="GIR2" s="19"/>
      <c r="GIV2" s="19"/>
      <c r="GIZ2" s="19"/>
      <c r="GJD2" s="19"/>
      <c r="GJH2" s="19"/>
      <c r="GJL2" s="19"/>
      <c r="GJP2" s="19"/>
      <c r="GJT2" s="19"/>
      <c r="GJX2" s="19"/>
      <c r="GKB2" s="19"/>
      <c r="GKF2" s="19"/>
      <c r="GKJ2" s="19"/>
      <c r="GKN2" s="19"/>
      <c r="GKR2" s="19"/>
      <c r="GKV2" s="19"/>
      <c r="GKZ2" s="19"/>
      <c r="GLD2" s="19"/>
      <c r="GLH2" s="19"/>
      <c r="GLL2" s="19"/>
      <c r="GLP2" s="19"/>
      <c r="GLT2" s="19"/>
      <c r="GLX2" s="19"/>
      <c r="GMB2" s="19"/>
      <c r="GMF2" s="19"/>
      <c r="GMJ2" s="19"/>
      <c r="GMN2" s="19"/>
      <c r="GMR2" s="19"/>
      <c r="GMV2" s="19"/>
      <c r="GMZ2" s="19"/>
      <c r="GND2" s="19"/>
      <c r="GNH2" s="19"/>
      <c r="GNL2" s="19"/>
      <c r="GNP2" s="19"/>
      <c r="GNT2" s="19"/>
      <c r="GNX2" s="19"/>
      <c r="GOB2" s="19"/>
      <c r="GOF2" s="19"/>
      <c r="GOJ2" s="19"/>
      <c r="GON2" s="19"/>
      <c r="GOR2" s="19"/>
      <c r="GOV2" s="19"/>
      <c r="GOZ2" s="19"/>
      <c r="GPD2" s="19"/>
      <c r="GPH2" s="19"/>
      <c r="GPL2" s="19"/>
      <c r="GPP2" s="19"/>
      <c r="GPT2" s="19"/>
      <c r="GPX2" s="19"/>
      <c r="GQB2" s="19"/>
      <c r="GQF2" s="19"/>
      <c r="GQJ2" s="19"/>
      <c r="GQN2" s="19"/>
      <c r="GQR2" s="19"/>
      <c r="GQV2" s="19"/>
      <c r="GQZ2" s="19"/>
      <c r="GRD2" s="19"/>
      <c r="GRH2" s="19"/>
      <c r="GRL2" s="19"/>
      <c r="GRP2" s="19"/>
      <c r="GRT2" s="19"/>
      <c r="GRX2" s="19"/>
      <c r="GSB2" s="19"/>
      <c r="GSF2" s="19"/>
      <c r="GSJ2" s="19"/>
      <c r="GSN2" s="19"/>
      <c r="GSR2" s="19"/>
      <c r="GSV2" s="19"/>
      <c r="GSZ2" s="19"/>
      <c r="GTD2" s="19"/>
      <c r="GTH2" s="19"/>
      <c r="GTL2" s="19"/>
      <c r="GTP2" s="19"/>
      <c r="GTT2" s="19"/>
      <c r="GTX2" s="19"/>
      <c r="GUB2" s="19"/>
      <c r="GUF2" s="19"/>
      <c r="GUJ2" s="19"/>
      <c r="GUN2" s="19"/>
      <c r="GUR2" s="19"/>
      <c r="GUV2" s="19"/>
      <c r="GUZ2" s="19"/>
      <c r="GVD2" s="19"/>
      <c r="GVH2" s="19"/>
      <c r="GVL2" s="19"/>
      <c r="GVP2" s="19"/>
      <c r="GVT2" s="19"/>
      <c r="GVX2" s="19"/>
      <c r="GWB2" s="19"/>
      <c r="GWF2" s="19"/>
      <c r="GWJ2" s="19"/>
      <c r="GWN2" s="19"/>
      <c r="GWR2" s="19"/>
      <c r="GWV2" s="19"/>
      <c r="GWZ2" s="19"/>
      <c r="GXD2" s="19"/>
      <c r="GXH2" s="19"/>
      <c r="GXL2" s="19"/>
      <c r="GXP2" s="19"/>
      <c r="GXT2" s="19"/>
      <c r="GXX2" s="19"/>
      <c r="GYB2" s="19"/>
      <c r="GYF2" s="19"/>
      <c r="GYJ2" s="19"/>
      <c r="GYN2" s="19"/>
      <c r="GYR2" s="19"/>
      <c r="GYV2" s="19"/>
      <c r="GYZ2" s="19"/>
      <c r="GZD2" s="19"/>
      <c r="GZH2" s="19"/>
      <c r="GZL2" s="19"/>
      <c r="GZP2" s="19"/>
      <c r="GZT2" s="19"/>
      <c r="GZX2" s="19"/>
      <c r="HAB2" s="19"/>
      <c r="HAF2" s="19"/>
      <c r="HAJ2" s="19"/>
      <c r="HAN2" s="19"/>
      <c r="HAR2" s="19"/>
      <c r="HAV2" s="19"/>
      <c r="HAZ2" s="19"/>
      <c r="HBD2" s="19"/>
      <c r="HBH2" s="19"/>
      <c r="HBL2" s="19"/>
      <c r="HBP2" s="19"/>
      <c r="HBT2" s="19"/>
      <c r="HBX2" s="19"/>
      <c r="HCB2" s="19"/>
      <c r="HCF2" s="19"/>
      <c r="HCJ2" s="19"/>
      <c r="HCN2" s="19"/>
      <c r="HCR2" s="19"/>
      <c r="HCV2" s="19"/>
      <c r="HCZ2" s="19"/>
      <c r="HDD2" s="19"/>
      <c r="HDH2" s="19"/>
      <c r="HDL2" s="19"/>
      <c r="HDP2" s="19"/>
      <c r="HDT2" s="19"/>
      <c r="HDX2" s="19"/>
      <c r="HEB2" s="19"/>
      <c r="HEF2" s="19"/>
      <c r="HEJ2" s="19"/>
      <c r="HEN2" s="19"/>
      <c r="HER2" s="19"/>
      <c r="HEV2" s="19"/>
      <c r="HEZ2" s="19"/>
      <c r="HFD2" s="19"/>
      <c r="HFH2" s="19"/>
      <c r="HFL2" s="19"/>
      <c r="HFP2" s="19"/>
      <c r="HFT2" s="19"/>
      <c r="HFX2" s="19"/>
      <c r="HGB2" s="19"/>
      <c r="HGF2" s="19"/>
      <c r="HGJ2" s="19"/>
      <c r="HGN2" s="19"/>
      <c r="HGR2" s="19"/>
      <c r="HGV2" s="19"/>
      <c r="HGZ2" s="19"/>
      <c r="HHD2" s="19"/>
      <c r="HHH2" s="19"/>
      <c r="HHL2" s="19"/>
      <c r="HHP2" s="19"/>
      <c r="HHT2" s="19"/>
      <c r="HHX2" s="19"/>
      <c r="HIB2" s="19"/>
      <c r="HIF2" s="19"/>
      <c r="HIJ2" s="19"/>
      <c r="HIN2" s="19"/>
      <c r="HIR2" s="19"/>
      <c r="HIV2" s="19"/>
      <c r="HIZ2" s="19"/>
      <c r="HJD2" s="19"/>
      <c r="HJH2" s="19"/>
      <c r="HJL2" s="19"/>
      <c r="HJP2" s="19"/>
      <c r="HJT2" s="19"/>
      <c r="HJX2" s="19"/>
      <c r="HKB2" s="19"/>
      <c r="HKF2" s="19"/>
      <c r="HKJ2" s="19"/>
      <c r="HKN2" s="19"/>
      <c r="HKR2" s="19"/>
      <c r="HKV2" s="19"/>
      <c r="HKZ2" s="19"/>
      <c r="HLD2" s="19"/>
      <c r="HLH2" s="19"/>
      <c r="HLL2" s="19"/>
      <c r="HLP2" s="19"/>
      <c r="HLT2" s="19"/>
      <c r="HLX2" s="19"/>
      <c r="HMB2" s="19"/>
      <c r="HMF2" s="19"/>
      <c r="HMJ2" s="19"/>
      <c r="HMN2" s="19"/>
      <c r="HMR2" s="19"/>
      <c r="HMV2" s="19"/>
      <c r="HMZ2" s="19"/>
      <c r="HND2" s="19"/>
      <c r="HNH2" s="19"/>
      <c r="HNL2" s="19"/>
      <c r="HNP2" s="19"/>
      <c r="HNT2" s="19"/>
      <c r="HNX2" s="19"/>
      <c r="HOB2" s="19"/>
      <c r="HOF2" s="19"/>
      <c r="HOJ2" s="19"/>
      <c r="HON2" s="19"/>
      <c r="HOR2" s="19"/>
      <c r="HOV2" s="19"/>
      <c r="HOZ2" s="19"/>
      <c r="HPD2" s="19"/>
      <c r="HPH2" s="19"/>
      <c r="HPL2" s="19"/>
      <c r="HPP2" s="19"/>
      <c r="HPT2" s="19"/>
      <c r="HPX2" s="19"/>
      <c r="HQB2" s="19"/>
      <c r="HQF2" s="19"/>
      <c r="HQJ2" s="19"/>
      <c r="HQN2" s="19"/>
      <c r="HQR2" s="19"/>
      <c r="HQV2" s="19"/>
      <c r="HQZ2" s="19"/>
      <c r="HRD2" s="19"/>
      <c r="HRH2" s="19"/>
      <c r="HRL2" s="19"/>
      <c r="HRP2" s="19"/>
      <c r="HRT2" s="19"/>
      <c r="HRX2" s="19"/>
      <c r="HSB2" s="19"/>
      <c r="HSF2" s="19"/>
      <c r="HSJ2" s="19"/>
      <c r="HSN2" s="19"/>
      <c r="HSR2" s="19"/>
      <c r="HSV2" s="19"/>
      <c r="HSZ2" s="19"/>
      <c r="HTD2" s="19"/>
      <c r="HTH2" s="19"/>
      <c r="HTL2" s="19"/>
      <c r="HTP2" s="19"/>
      <c r="HTT2" s="19"/>
      <c r="HTX2" s="19"/>
      <c r="HUB2" s="19"/>
      <c r="HUF2" s="19"/>
      <c r="HUJ2" s="19"/>
      <c r="HUN2" s="19"/>
      <c r="HUR2" s="19"/>
      <c r="HUV2" s="19"/>
      <c r="HUZ2" s="19"/>
      <c r="HVD2" s="19"/>
      <c r="HVH2" s="19"/>
      <c r="HVL2" s="19"/>
      <c r="HVP2" s="19"/>
      <c r="HVT2" s="19"/>
      <c r="HVX2" s="19"/>
      <c r="HWB2" s="19"/>
      <c r="HWF2" s="19"/>
      <c r="HWJ2" s="19"/>
      <c r="HWN2" s="19"/>
      <c r="HWR2" s="19"/>
      <c r="HWV2" s="19"/>
      <c r="HWZ2" s="19"/>
      <c r="HXD2" s="19"/>
      <c r="HXH2" s="19"/>
      <c r="HXL2" s="19"/>
      <c r="HXP2" s="19"/>
      <c r="HXT2" s="19"/>
      <c r="HXX2" s="19"/>
      <c r="HYB2" s="19"/>
      <c r="HYF2" s="19"/>
      <c r="HYJ2" s="19"/>
      <c r="HYN2" s="19"/>
      <c r="HYR2" s="19"/>
      <c r="HYV2" s="19"/>
      <c r="HYZ2" s="19"/>
      <c r="HZD2" s="19"/>
      <c r="HZH2" s="19"/>
      <c r="HZL2" s="19"/>
      <c r="HZP2" s="19"/>
      <c r="HZT2" s="19"/>
      <c r="HZX2" s="19"/>
      <c r="IAB2" s="19"/>
      <c r="IAF2" s="19"/>
      <c r="IAJ2" s="19"/>
      <c r="IAN2" s="19"/>
      <c r="IAR2" s="19"/>
      <c r="IAV2" s="19"/>
      <c r="IAZ2" s="19"/>
      <c r="IBD2" s="19"/>
      <c r="IBH2" s="19"/>
      <c r="IBL2" s="19"/>
      <c r="IBP2" s="19"/>
      <c r="IBT2" s="19"/>
      <c r="IBX2" s="19"/>
      <c r="ICB2" s="19"/>
      <c r="ICF2" s="19"/>
      <c r="ICJ2" s="19"/>
      <c r="ICN2" s="19"/>
      <c r="ICR2" s="19"/>
      <c r="ICV2" s="19"/>
      <c r="ICZ2" s="19"/>
      <c r="IDD2" s="19"/>
      <c r="IDH2" s="19"/>
      <c r="IDL2" s="19"/>
      <c r="IDP2" s="19"/>
      <c r="IDT2" s="19"/>
      <c r="IDX2" s="19"/>
      <c r="IEB2" s="19"/>
      <c r="IEF2" s="19"/>
      <c r="IEJ2" s="19"/>
      <c r="IEN2" s="19"/>
      <c r="IER2" s="19"/>
      <c r="IEV2" s="19"/>
      <c r="IEZ2" s="19"/>
      <c r="IFD2" s="19"/>
      <c r="IFH2" s="19"/>
      <c r="IFL2" s="19"/>
      <c r="IFP2" s="19"/>
      <c r="IFT2" s="19"/>
      <c r="IFX2" s="19"/>
      <c r="IGB2" s="19"/>
      <c r="IGF2" s="19"/>
      <c r="IGJ2" s="19"/>
      <c r="IGN2" s="19"/>
      <c r="IGR2" s="19"/>
      <c r="IGV2" s="19"/>
      <c r="IGZ2" s="19"/>
      <c r="IHD2" s="19"/>
      <c r="IHH2" s="19"/>
      <c r="IHL2" s="19"/>
      <c r="IHP2" s="19"/>
      <c r="IHT2" s="19"/>
      <c r="IHX2" s="19"/>
      <c r="IIB2" s="19"/>
      <c r="IIF2" s="19"/>
      <c r="IIJ2" s="19"/>
      <c r="IIN2" s="19"/>
      <c r="IIR2" s="19"/>
      <c r="IIV2" s="19"/>
      <c r="IIZ2" s="19"/>
      <c r="IJD2" s="19"/>
      <c r="IJH2" s="19"/>
      <c r="IJL2" s="19"/>
      <c r="IJP2" s="19"/>
      <c r="IJT2" s="19"/>
      <c r="IJX2" s="19"/>
      <c r="IKB2" s="19"/>
      <c r="IKF2" s="19"/>
      <c r="IKJ2" s="19"/>
      <c r="IKN2" s="19"/>
      <c r="IKR2" s="19"/>
      <c r="IKV2" s="19"/>
      <c r="IKZ2" s="19"/>
      <c r="ILD2" s="19"/>
      <c r="ILH2" s="19"/>
      <c r="ILL2" s="19"/>
      <c r="ILP2" s="19"/>
      <c r="ILT2" s="19"/>
      <c r="ILX2" s="19"/>
      <c r="IMB2" s="19"/>
      <c r="IMF2" s="19"/>
      <c r="IMJ2" s="19"/>
      <c r="IMN2" s="19"/>
      <c r="IMR2" s="19"/>
      <c r="IMV2" s="19"/>
      <c r="IMZ2" s="19"/>
      <c r="IND2" s="19"/>
      <c r="INH2" s="19"/>
      <c r="INL2" s="19"/>
      <c r="INP2" s="19"/>
      <c r="INT2" s="19"/>
      <c r="INX2" s="19"/>
      <c r="IOB2" s="19"/>
      <c r="IOF2" s="19"/>
      <c r="IOJ2" s="19"/>
      <c r="ION2" s="19"/>
      <c r="IOR2" s="19"/>
      <c r="IOV2" s="19"/>
      <c r="IOZ2" s="19"/>
      <c r="IPD2" s="19"/>
      <c r="IPH2" s="19"/>
      <c r="IPL2" s="19"/>
      <c r="IPP2" s="19"/>
      <c r="IPT2" s="19"/>
      <c r="IPX2" s="19"/>
      <c r="IQB2" s="19"/>
      <c r="IQF2" s="19"/>
      <c r="IQJ2" s="19"/>
      <c r="IQN2" s="19"/>
      <c r="IQR2" s="19"/>
      <c r="IQV2" s="19"/>
      <c r="IQZ2" s="19"/>
      <c r="IRD2" s="19"/>
      <c r="IRH2" s="19"/>
      <c r="IRL2" s="19"/>
      <c r="IRP2" s="19"/>
      <c r="IRT2" s="19"/>
      <c r="IRX2" s="19"/>
      <c r="ISB2" s="19"/>
      <c r="ISF2" s="19"/>
      <c r="ISJ2" s="19"/>
      <c r="ISN2" s="19"/>
      <c r="ISR2" s="19"/>
      <c r="ISV2" s="19"/>
      <c r="ISZ2" s="19"/>
      <c r="ITD2" s="19"/>
      <c r="ITH2" s="19"/>
      <c r="ITL2" s="19"/>
      <c r="ITP2" s="19"/>
      <c r="ITT2" s="19"/>
      <c r="ITX2" s="19"/>
      <c r="IUB2" s="19"/>
      <c r="IUF2" s="19"/>
      <c r="IUJ2" s="19"/>
      <c r="IUN2" s="19"/>
      <c r="IUR2" s="19"/>
      <c r="IUV2" s="19"/>
      <c r="IUZ2" s="19"/>
      <c r="IVD2" s="19"/>
      <c r="IVH2" s="19"/>
      <c r="IVL2" s="19"/>
      <c r="IVP2" s="19"/>
      <c r="IVT2" s="19"/>
      <c r="IVX2" s="19"/>
      <c r="IWB2" s="19"/>
      <c r="IWF2" s="19"/>
      <c r="IWJ2" s="19"/>
      <c r="IWN2" s="19"/>
      <c r="IWR2" s="19"/>
      <c r="IWV2" s="19"/>
      <c r="IWZ2" s="19"/>
      <c r="IXD2" s="19"/>
      <c r="IXH2" s="19"/>
      <c r="IXL2" s="19"/>
      <c r="IXP2" s="19"/>
      <c r="IXT2" s="19"/>
      <c r="IXX2" s="19"/>
      <c r="IYB2" s="19"/>
      <c r="IYF2" s="19"/>
      <c r="IYJ2" s="19"/>
      <c r="IYN2" s="19"/>
      <c r="IYR2" s="19"/>
      <c r="IYV2" s="19"/>
      <c r="IYZ2" s="19"/>
      <c r="IZD2" s="19"/>
      <c r="IZH2" s="19"/>
      <c r="IZL2" s="19"/>
      <c r="IZP2" s="19"/>
      <c r="IZT2" s="19"/>
      <c r="IZX2" s="19"/>
      <c r="JAB2" s="19"/>
      <c r="JAF2" s="19"/>
      <c r="JAJ2" s="19"/>
      <c r="JAN2" s="19"/>
      <c r="JAR2" s="19"/>
      <c r="JAV2" s="19"/>
      <c r="JAZ2" s="19"/>
      <c r="JBD2" s="19"/>
      <c r="JBH2" s="19"/>
      <c r="JBL2" s="19"/>
      <c r="JBP2" s="19"/>
      <c r="JBT2" s="19"/>
      <c r="JBX2" s="19"/>
      <c r="JCB2" s="19"/>
      <c r="JCF2" s="19"/>
      <c r="JCJ2" s="19"/>
      <c r="JCN2" s="19"/>
      <c r="JCR2" s="19"/>
      <c r="JCV2" s="19"/>
      <c r="JCZ2" s="19"/>
      <c r="JDD2" s="19"/>
      <c r="JDH2" s="19"/>
      <c r="JDL2" s="19"/>
      <c r="JDP2" s="19"/>
      <c r="JDT2" s="19"/>
      <c r="JDX2" s="19"/>
      <c r="JEB2" s="19"/>
      <c r="JEF2" s="19"/>
      <c r="JEJ2" s="19"/>
      <c r="JEN2" s="19"/>
      <c r="JER2" s="19"/>
      <c r="JEV2" s="19"/>
      <c r="JEZ2" s="19"/>
      <c r="JFD2" s="19"/>
      <c r="JFH2" s="19"/>
      <c r="JFL2" s="19"/>
      <c r="JFP2" s="19"/>
      <c r="JFT2" s="19"/>
      <c r="JFX2" s="19"/>
      <c r="JGB2" s="19"/>
      <c r="JGF2" s="19"/>
      <c r="JGJ2" s="19"/>
      <c r="JGN2" s="19"/>
      <c r="JGR2" s="19"/>
      <c r="JGV2" s="19"/>
      <c r="JGZ2" s="19"/>
      <c r="JHD2" s="19"/>
      <c r="JHH2" s="19"/>
      <c r="JHL2" s="19"/>
      <c r="JHP2" s="19"/>
      <c r="JHT2" s="19"/>
      <c r="JHX2" s="19"/>
      <c r="JIB2" s="19"/>
      <c r="JIF2" s="19"/>
      <c r="JIJ2" s="19"/>
      <c r="JIN2" s="19"/>
      <c r="JIR2" s="19"/>
      <c r="JIV2" s="19"/>
      <c r="JIZ2" s="19"/>
      <c r="JJD2" s="19"/>
      <c r="JJH2" s="19"/>
      <c r="JJL2" s="19"/>
      <c r="JJP2" s="19"/>
      <c r="JJT2" s="19"/>
      <c r="JJX2" s="19"/>
      <c r="JKB2" s="19"/>
      <c r="JKF2" s="19"/>
      <c r="JKJ2" s="19"/>
      <c r="JKN2" s="19"/>
      <c r="JKR2" s="19"/>
      <c r="JKV2" s="19"/>
      <c r="JKZ2" s="19"/>
      <c r="JLD2" s="19"/>
      <c r="JLH2" s="19"/>
      <c r="JLL2" s="19"/>
      <c r="JLP2" s="19"/>
      <c r="JLT2" s="19"/>
      <c r="JLX2" s="19"/>
      <c r="JMB2" s="19"/>
      <c r="JMF2" s="19"/>
      <c r="JMJ2" s="19"/>
      <c r="JMN2" s="19"/>
      <c r="JMR2" s="19"/>
      <c r="JMV2" s="19"/>
      <c r="JMZ2" s="19"/>
      <c r="JND2" s="19"/>
      <c r="JNH2" s="19"/>
      <c r="JNL2" s="19"/>
      <c r="JNP2" s="19"/>
      <c r="JNT2" s="19"/>
      <c r="JNX2" s="19"/>
      <c r="JOB2" s="19"/>
      <c r="JOF2" s="19"/>
      <c r="JOJ2" s="19"/>
      <c r="JON2" s="19"/>
      <c r="JOR2" s="19"/>
      <c r="JOV2" s="19"/>
      <c r="JOZ2" s="19"/>
      <c r="JPD2" s="19"/>
      <c r="JPH2" s="19"/>
      <c r="JPL2" s="19"/>
      <c r="JPP2" s="19"/>
      <c r="JPT2" s="19"/>
      <c r="JPX2" s="19"/>
      <c r="JQB2" s="19"/>
      <c r="JQF2" s="19"/>
      <c r="JQJ2" s="19"/>
      <c r="JQN2" s="19"/>
      <c r="JQR2" s="19"/>
      <c r="JQV2" s="19"/>
      <c r="JQZ2" s="19"/>
      <c r="JRD2" s="19"/>
      <c r="JRH2" s="19"/>
      <c r="JRL2" s="19"/>
      <c r="JRP2" s="19"/>
      <c r="JRT2" s="19"/>
      <c r="JRX2" s="19"/>
      <c r="JSB2" s="19"/>
      <c r="JSF2" s="19"/>
      <c r="JSJ2" s="19"/>
      <c r="JSN2" s="19"/>
      <c r="JSR2" s="19"/>
      <c r="JSV2" s="19"/>
      <c r="JSZ2" s="19"/>
      <c r="JTD2" s="19"/>
      <c r="JTH2" s="19"/>
      <c r="JTL2" s="19"/>
      <c r="JTP2" s="19"/>
      <c r="JTT2" s="19"/>
      <c r="JTX2" s="19"/>
      <c r="JUB2" s="19"/>
      <c r="JUF2" s="19"/>
      <c r="JUJ2" s="19"/>
      <c r="JUN2" s="19"/>
      <c r="JUR2" s="19"/>
      <c r="JUV2" s="19"/>
      <c r="JUZ2" s="19"/>
      <c r="JVD2" s="19"/>
      <c r="JVH2" s="19"/>
      <c r="JVL2" s="19"/>
      <c r="JVP2" s="19"/>
      <c r="JVT2" s="19"/>
      <c r="JVX2" s="19"/>
      <c r="JWB2" s="19"/>
      <c r="JWF2" s="19"/>
      <c r="JWJ2" s="19"/>
      <c r="JWN2" s="19"/>
      <c r="JWR2" s="19"/>
      <c r="JWV2" s="19"/>
      <c r="JWZ2" s="19"/>
      <c r="JXD2" s="19"/>
      <c r="JXH2" s="19"/>
      <c r="JXL2" s="19"/>
      <c r="JXP2" s="19"/>
      <c r="JXT2" s="19"/>
      <c r="JXX2" s="19"/>
      <c r="JYB2" s="19"/>
      <c r="JYF2" s="19"/>
      <c r="JYJ2" s="19"/>
      <c r="JYN2" s="19"/>
      <c r="JYR2" s="19"/>
      <c r="JYV2" s="19"/>
      <c r="JYZ2" s="19"/>
      <c r="JZD2" s="19"/>
      <c r="JZH2" s="19"/>
      <c r="JZL2" s="19"/>
      <c r="JZP2" s="19"/>
      <c r="JZT2" s="19"/>
      <c r="JZX2" s="19"/>
      <c r="KAB2" s="19"/>
      <c r="KAF2" s="19"/>
      <c r="KAJ2" s="19"/>
      <c r="KAN2" s="19"/>
      <c r="KAR2" s="19"/>
      <c r="KAV2" s="19"/>
      <c r="KAZ2" s="19"/>
      <c r="KBD2" s="19"/>
      <c r="KBH2" s="19"/>
      <c r="KBL2" s="19"/>
      <c r="KBP2" s="19"/>
      <c r="KBT2" s="19"/>
      <c r="KBX2" s="19"/>
      <c r="KCB2" s="19"/>
      <c r="KCF2" s="19"/>
      <c r="KCJ2" s="19"/>
      <c r="KCN2" s="19"/>
      <c r="KCR2" s="19"/>
      <c r="KCV2" s="19"/>
      <c r="KCZ2" s="19"/>
      <c r="KDD2" s="19"/>
      <c r="KDH2" s="19"/>
      <c r="KDL2" s="19"/>
      <c r="KDP2" s="19"/>
      <c r="KDT2" s="19"/>
      <c r="KDX2" s="19"/>
      <c r="KEB2" s="19"/>
      <c r="KEF2" s="19"/>
      <c r="KEJ2" s="19"/>
      <c r="KEN2" s="19"/>
      <c r="KER2" s="19"/>
      <c r="KEV2" s="19"/>
      <c r="KEZ2" s="19"/>
      <c r="KFD2" s="19"/>
      <c r="KFH2" s="19"/>
      <c r="KFL2" s="19"/>
      <c r="KFP2" s="19"/>
      <c r="KFT2" s="19"/>
      <c r="KFX2" s="19"/>
      <c r="KGB2" s="19"/>
      <c r="KGF2" s="19"/>
      <c r="KGJ2" s="19"/>
      <c r="KGN2" s="19"/>
      <c r="KGR2" s="19"/>
      <c r="KGV2" s="19"/>
      <c r="KGZ2" s="19"/>
      <c r="KHD2" s="19"/>
      <c r="KHH2" s="19"/>
      <c r="KHL2" s="19"/>
      <c r="KHP2" s="19"/>
      <c r="KHT2" s="19"/>
      <c r="KHX2" s="19"/>
      <c r="KIB2" s="19"/>
      <c r="KIF2" s="19"/>
      <c r="KIJ2" s="19"/>
      <c r="KIN2" s="19"/>
      <c r="KIR2" s="19"/>
      <c r="KIV2" s="19"/>
      <c r="KIZ2" s="19"/>
      <c r="KJD2" s="19"/>
      <c r="KJH2" s="19"/>
      <c r="KJL2" s="19"/>
      <c r="KJP2" s="19"/>
      <c r="KJT2" s="19"/>
      <c r="KJX2" s="19"/>
      <c r="KKB2" s="19"/>
      <c r="KKF2" s="19"/>
      <c r="KKJ2" s="19"/>
      <c r="KKN2" s="19"/>
      <c r="KKR2" s="19"/>
      <c r="KKV2" s="19"/>
      <c r="KKZ2" s="19"/>
      <c r="KLD2" s="19"/>
      <c r="KLH2" s="19"/>
      <c r="KLL2" s="19"/>
      <c r="KLP2" s="19"/>
      <c r="KLT2" s="19"/>
      <c r="KLX2" s="19"/>
      <c r="KMB2" s="19"/>
      <c r="KMF2" s="19"/>
      <c r="KMJ2" s="19"/>
      <c r="KMN2" s="19"/>
      <c r="KMR2" s="19"/>
      <c r="KMV2" s="19"/>
      <c r="KMZ2" s="19"/>
      <c r="KND2" s="19"/>
      <c r="KNH2" s="19"/>
      <c r="KNL2" s="19"/>
      <c r="KNP2" s="19"/>
      <c r="KNT2" s="19"/>
      <c r="KNX2" s="19"/>
      <c r="KOB2" s="19"/>
      <c r="KOF2" s="19"/>
      <c r="KOJ2" s="19"/>
      <c r="KON2" s="19"/>
      <c r="KOR2" s="19"/>
      <c r="KOV2" s="19"/>
      <c r="KOZ2" s="19"/>
      <c r="KPD2" s="19"/>
      <c r="KPH2" s="19"/>
      <c r="KPL2" s="19"/>
      <c r="KPP2" s="19"/>
      <c r="KPT2" s="19"/>
      <c r="KPX2" s="19"/>
      <c r="KQB2" s="19"/>
      <c r="KQF2" s="19"/>
      <c r="KQJ2" s="19"/>
      <c r="KQN2" s="19"/>
      <c r="KQR2" s="19"/>
      <c r="KQV2" s="19"/>
      <c r="KQZ2" s="19"/>
      <c r="KRD2" s="19"/>
      <c r="KRH2" s="19"/>
      <c r="KRL2" s="19"/>
      <c r="KRP2" s="19"/>
      <c r="KRT2" s="19"/>
      <c r="KRX2" s="19"/>
      <c r="KSB2" s="19"/>
      <c r="KSF2" s="19"/>
      <c r="KSJ2" s="19"/>
      <c r="KSN2" s="19"/>
      <c r="KSR2" s="19"/>
      <c r="KSV2" s="19"/>
      <c r="KSZ2" s="19"/>
      <c r="KTD2" s="19"/>
      <c r="KTH2" s="19"/>
      <c r="KTL2" s="19"/>
      <c r="KTP2" s="19"/>
      <c r="KTT2" s="19"/>
      <c r="KTX2" s="19"/>
      <c r="KUB2" s="19"/>
      <c r="KUF2" s="19"/>
      <c r="KUJ2" s="19"/>
      <c r="KUN2" s="19"/>
      <c r="KUR2" s="19"/>
      <c r="KUV2" s="19"/>
      <c r="KUZ2" s="19"/>
      <c r="KVD2" s="19"/>
      <c r="KVH2" s="19"/>
      <c r="KVL2" s="19"/>
      <c r="KVP2" s="19"/>
      <c r="KVT2" s="19"/>
      <c r="KVX2" s="19"/>
      <c r="KWB2" s="19"/>
      <c r="KWF2" s="19"/>
      <c r="KWJ2" s="19"/>
      <c r="KWN2" s="19"/>
      <c r="KWR2" s="19"/>
      <c r="KWV2" s="19"/>
      <c r="KWZ2" s="19"/>
      <c r="KXD2" s="19"/>
      <c r="KXH2" s="19"/>
      <c r="KXL2" s="19"/>
      <c r="KXP2" s="19"/>
      <c r="KXT2" s="19"/>
      <c r="KXX2" s="19"/>
      <c r="KYB2" s="19"/>
      <c r="KYF2" s="19"/>
      <c r="KYJ2" s="19"/>
      <c r="KYN2" s="19"/>
      <c r="KYR2" s="19"/>
      <c r="KYV2" s="19"/>
      <c r="KYZ2" s="19"/>
      <c r="KZD2" s="19"/>
      <c r="KZH2" s="19"/>
      <c r="KZL2" s="19"/>
      <c r="KZP2" s="19"/>
      <c r="KZT2" s="19"/>
      <c r="KZX2" s="19"/>
      <c r="LAB2" s="19"/>
      <c r="LAF2" s="19"/>
      <c r="LAJ2" s="19"/>
      <c r="LAN2" s="19"/>
      <c r="LAR2" s="19"/>
      <c r="LAV2" s="19"/>
      <c r="LAZ2" s="19"/>
      <c r="LBD2" s="19"/>
      <c r="LBH2" s="19"/>
      <c r="LBL2" s="19"/>
      <c r="LBP2" s="19"/>
      <c r="LBT2" s="19"/>
      <c r="LBX2" s="19"/>
      <c r="LCB2" s="19"/>
      <c r="LCF2" s="19"/>
      <c r="LCJ2" s="19"/>
      <c r="LCN2" s="19"/>
      <c r="LCR2" s="19"/>
      <c r="LCV2" s="19"/>
      <c r="LCZ2" s="19"/>
      <c r="LDD2" s="19"/>
      <c r="LDH2" s="19"/>
      <c r="LDL2" s="19"/>
      <c r="LDP2" s="19"/>
      <c r="LDT2" s="19"/>
      <c r="LDX2" s="19"/>
      <c r="LEB2" s="19"/>
      <c r="LEF2" s="19"/>
      <c r="LEJ2" s="19"/>
      <c r="LEN2" s="19"/>
      <c r="LER2" s="19"/>
      <c r="LEV2" s="19"/>
      <c r="LEZ2" s="19"/>
      <c r="LFD2" s="19"/>
      <c r="LFH2" s="19"/>
      <c r="LFL2" s="19"/>
      <c r="LFP2" s="19"/>
      <c r="LFT2" s="19"/>
      <c r="LFX2" s="19"/>
      <c r="LGB2" s="19"/>
      <c r="LGF2" s="19"/>
      <c r="LGJ2" s="19"/>
      <c r="LGN2" s="19"/>
      <c r="LGR2" s="19"/>
      <c r="LGV2" s="19"/>
      <c r="LGZ2" s="19"/>
      <c r="LHD2" s="19"/>
      <c r="LHH2" s="19"/>
      <c r="LHL2" s="19"/>
      <c r="LHP2" s="19"/>
      <c r="LHT2" s="19"/>
      <c r="LHX2" s="19"/>
      <c r="LIB2" s="19"/>
      <c r="LIF2" s="19"/>
      <c r="LIJ2" s="19"/>
      <c r="LIN2" s="19"/>
      <c r="LIR2" s="19"/>
      <c r="LIV2" s="19"/>
      <c r="LIZ2" s="19"/>
      <c r="LJD2" s="19"/>
      <c r="LJH2" s="19"/>
      <c r="LJL2" s="19"/>
      <c r="LJP2" s="19"/>
      <c r="LJT2" s="19"/>
      <c r="LJX2" s="19"/>
      <c r="LKB2" s="19"/>
      <c r="LKF2" s="19"/>
      <c r="LKJ2" s="19"/>
      <c r="LKN2" s="19"/>
      <c r="LKR2" s="19"/>
      <c r="LKV2" s="19"/>
      <c r="LKZ2" s="19"/>
      <c r="LLD2" s="19"/>
      <c r="LLH2" s="19"/>
      <c r="LLL2" s="19"/>
      <c r="LLP2" s="19"/>
      <c r="LLT2" s="19"/>
      <c r="LLX2" s="19"/>
      <c r="LMB2" s="19"/>
      <c r="LMF2" s="19"/>
      <c r="LMJ2" s="19"/>
      <c r="LMN2" s="19"/>
      <c r="LMR2" s="19"/>
      <c r="LMV2" s="19"/>
      <c r="LMZ2" s="19"/>
      <c r="LND2" s="19"/>
      <c r="LNH2" s="19"/>
      <c r="LNL2" s="19"/>
      <c r="LNP2" s="19"/>
      <c r="LNT2" s="19"/>
      <c r="LNX2" s="19"/>
      <c r="LOB2" s="19"/>
      <c r="LOF2" s="19"/>
      <c r="LOJ2" s="19"/>
      <c r="LON2" s="19"/>
      <c r="LOR2" s="19"/>
      <c r="LOV2" s="19"/>
      <c r="LOZ2" s="19"/>
      <c r="LPD2" s="19"/>
      <c r="LPH2" s="19"/>
      <c r="LPL2" s="19"/>
      <c r="LPP2" s="19"/>
      <c r="LPT2" s="19"/>
      <c r="LPX2" s="19"/>
      <c r="LQB2" s="19"/>
      <c r="LQF2" s="19"/>
      <c r="LQJ2" s="19"/>
      <c r="LQN2" s="19"/>
      <c r="LQR2" s="19"/>
      <c r="LQV2" s="19"/>
      <c r="LQZ2" s="19"/>
      <c r="LRD2" s="19"/>
      <c r="LRH2" s="19"/>
      <c r="LRL2" s="19"/>
      <c r="LRP2" s="19"/>
      <c r="LRT2" s="19"/>
      <c r="LRX2" s="19"/>
      <c r="LSB2" s="19"/>
      <c r="LSF2" s="19"/>
      <c r="LSJ2" s="19"/>
      <c r="LSN2" s="19"/>
      <c r="LSR2" s="19"/>
      <c r="LSV2" s="19"/>
      <c r="LSZ2" s="19"/>
      <c r="LTD2" s="19"/>
      <c r="LTH2" s="19"/>
      <c r="LTL2" s="19"/>
      <c r="LTP2" s="19"/>
      <c r="LTT2" s="19"/>
      <c r="LTX2" s="19"/>
      <c r="LUB2" s="19"/>
      <c r="LUF2" s="19"/>
      <c r="LUJ2" s="19"/>
      <c r="LUN2" s="19"/>
      <c r="LUR2" s="19"/>
      <c r="LUV2" s="19"/>
      <c r="LUZ2" s="19"/>
      <c r="LVD2" s="19"/>
      <c r="LVH2" s="19"/>
      <c r="LVL2" s="19"/>
      <c r="LVP2" s="19"/>
      <c r="LVT2" s="19"/>
      <c r="LVX2" s="19"/>
      <c r="LWB2" s="19"/>
      <c r="LWF2" s="19"/>
      <c r="LWJ2" s="19"/>
      <c r="LWN2" s="19"/>
      <c r="LWR2" s="19"/>
      <c r="LWV2" s="19"/>
      <c r="LWZ2" s="19"/>
      <c r="LXD2" s="19"/>
      <c r="LXH2" s="19"/>
      <c r="LXL2" s="19"/>
      <c r="LXP2" s="19"/>
      <c r="LXT2" s="19"/>
      <c r="LXX2" s="19"/>
      <c r="LYB2" s="19"/>
      <c r="LYF2" s="19"/>
      <c r="LYJ2" s="19"/>
      <c r="LYN2" s="19"/>
      <c r="LYR2" s="19"/>
      <c r="LYV2" s="19"/>
      <c r="LYZ2" s="19"/>
      <c r="LZD2" s="19"/>
      <c r="LZH2" s="19"/>
      <c r="LZL2" s="19"/>
      <c r="LZP2" s="19"/>
      <c r="LZT2" s="19"/>
      <c r="LZX2" s="19"/>
      <c r="MAB2" s="19"/>
      <c r="MAF2" s="19"/>
      <c r="MAJ2" s="19"/>
      <c r="MAN2" s="19"/>
      <c r="MAR2" s="19"/>
      <c r="MAV2" s="19"/>
      <c r="MAZ2" s="19"/>
      <c r="MBD2" s="19"/>
      <c r="MBH2" s="19"/>
      <c r="MBL2" s="19"/>
      <c r="MBP2" s="19"/>
      <c r="MBT2" s="19"/>
      <c r="MBX2" s="19"/>
      <c r="MCB2" s="19"/>
      <c r="MCF2" s="19"/>
      <c r="MCJ2" s="19"/>
      <c r="MCN2" s="19"/>
      <c r="MCR2" s="19"/>
      <c r="MCV2" s="19"/>
      <c r="MCZ2" s="19"/>
      <c r="MDD2" s="19"/>
      <c r="MDH2" s="19"/>
      <c r="MDL2" s="19"/>
      <c r="MDP2" s="19"/>
      <c r="MDT2" s="19"/>
      <c r="MDX2" s="19"/>
      <c r="MEB2" s="19"/>
      <c r="MEF2" s="19"/>
      <c r="MEJ2" s="19"/>
      <c r="MEN2" s="19"/>
      <c r="MER2" s="19"/>
      <c r="MEV2" s="19"/>
      <c r="MEZ2" s="19"/>
      <c r="MFD2" s="19"/>
      <c r="MFH2" s="19"/>
      <c r="MFL2" s="19"/>
      <c r="MFP2" s="19"/>
      <c r="MFT2" s="19"/>
      <c r="MFX2" s="19"/>
      <c r="MGB2" s="19"/>
      <c r="MGF2" s="19"/>
      <c r="MGJ2" s="19"/>
      <c r="MGN2" s="19"/>
      <c r="MGR2" s="19"/>
      <c r="MGV2" s="19"/>
      <c r="MGZ2" s="19"/>
      <c r="MHD2" s="19"/>
      <c r="MHH2" s="19"/>
      <c r="MHL2" s="19"/>
      <c r="MHP2" s="19"/>
      <c r="MHT2" s="19"/>
      <c r="MHX2" s="19"/>
      <c r="MIB2" s="19"/>
      <c r="MIF2" s="19"/>
      <c r="MIJ2" s="19"/>
      <c r="MIN2" s="19"/>
      <c r="MIR2" s="19"/>
      <c r="MIV2" s="19"/>
      <c r="MIZ2" s="19"/>
      <c r="MJD2" s="19"/>
      <c r="MJH2" s="19"/>
      <c r="MJL2" s="19"/>
      <c r="MJP2" s="19"/>
      <c r="MJT2" s="19"/>
      <c r="MJX2" s="19"/>
      <c r="MKB2" s="19"/>
      <c r="MKF2" s="19"/>
      <c r="MKJ2" s="19"/>
      <c r="MKN2" s="19"/>
      <c r="MKR2" s="19"/>
      <c r="MKV2" s="19"/>
      <c r="MKZ2" s="19"/>
      <c r="MLD2" s="19"/>
      <c r="MLH2" s="19"/>
      <c r="MLL2" s="19"/>
      <c r="MLP2" s="19"/>
      <c r="MLT2" s="19"/>
      <c r="MLX2" s="19"/>
      <c r="MMB2" s="19"/>
      <c r="MMF2" s="19"/>
      <c r="MMJ2" s="19"/>
      <c r="MMN2" s="19"/>
      <c r="MMR2" s="19"/>
      <c r="MMV2" s="19"/>
      <c r="MMZ2" s="19"/>
      <c r="MND2" s="19"/>
      <c r="MNH2" s="19"/>
      <c r="MNL2" s="19"/>
      <c r="MNP2" s="19"/>
      <c r="MNT2" s="19"/>
      <c r="MNX2" s="19"/>
      <c r="MOB2" s="19"/>
      <c r="MOF2" s="19"/>
      <c r="MOJ2" s="19"/>
      <c r="MON2" s="19"/>
      <c r="MOR2" s="19"/>
      <c r="MOV2" s="19"/>
      <c r="MOZ2" s="19"/>
      <c r="MPD2" s="19"/>
      <c r="MPH2" s="19"/>
      <c r="MPL2" s="19"/>
      <c r="MPP2" s="19"/>
      <c r="MPT2" s="19"/>
      <c r="MPX2" s="19"/>
      <c r="MQB2" s="19"/>
      <c r="MQF2" s="19"/>
      <c r="MQJ2" s="19"/>
      <c r="MQN2" s="19"/>
      <c r="MQR2" s="19"/>
      <c r="MQV2" s="19"/>
      <c r="MQZ2" s="19"/>
      <c r="MRD2" s="19"/>
      <c r="MRH2" s="19"/>
      <c r="MRL2" s="19"/>
      <c r="MRP2" s="19"/>
      <c r="MRT2" s="19"/>
      <c r="MRX2" s="19"/>
      <c r="MSB2" s="19"/>
      <c r="MSF2" s="19"/>
      <c r="MSJ2" s="19"/>
      <c r="MSN2" s="19"/>
      <c r="MSR2" s="19"/>
      <c r="MSV2" s="19"/>
      <c r="MSZ2" s="19"/>
      <c r="MTD2" s="19"/>
      <c r="MTH2" s="19"/>
      <c r="MTL2" s="19"/>
      <c r="MTP2" s="19"/>
      <c r="MTT2" s="19"/>
      <c r="MTX2" s="19"/>
      <c r="MUB2" s="19"/>
      <c r="MUF2" s="19"/>
      <c r="MUJ2" s="19"/>
      <c r="MUN2" s="19"/>
      <c r="MUR2" s="19"/>
      <c r="MUV2" s="19"/>
      <c r="MUZ2" s="19"/>
      <c r="MVD2" s="19"/>
      <c r="MVH2" s="19"/>
      <c r="MVL2" s="19"/>
      <c r="MVP2" s="19"/>
      <c r="MVT2" s="19"/>
      <c r="MVX2" s="19"/>
      <c r="MWB2" s="19"/>
      <c r="MWF2" s="19"/>
      <c r="MWJ2" s="19"/>
      <c r="MWN2" s="19"/>
      <c r="MWR2" s="19"/>
      <c r="MWV2" s="19"/>
      <c r="MWZ2" s="19"/>
      <c r="MXD2" s="19"/>
      <c r="MXH2" s="19"/>
      <c r="MXL2" s="19"/>
      <c r="MXP2" s="19"/>
      <c r="MXT2" s="19"/>
      <c r="MXX2" s="19"/>
      <c r="MYB2" s="19"/>
      <c r="MYF2" s="19"/>
      <c r="MYJ2" s="19"/>
      <c r="MYN2" s="19"/>
      <c r="MYR2" s="19"/>
      <c r="MYV2" s="19"/>
      <c r="MYZ2" s="19"/>
      <c r="MZD2" s="19"/>
      <c r="MZH2" s="19"/>
      <c r="MZL2" s="19"/>
      <c r="MZP2" s="19"/>
      <c r="MZT2" s="19"/>
      <c r="MZX2" s="19"/>
      <c r="NAB2" s="19"/>
      <c r="NAF2" s="19"/>
      <c r="NAJ2" s="19"/>
      <c r="NAN2" s="19"/>
      <c r="NAR2" s="19"/>
      <c r="NAV2" s="19"/>
      <c r="NAZ2" s="19"/>
      <c r="NBD2" s="19"/>
      <c r="NBH2" s="19"/>
      <c r="NBL2" s="19"/>
      <c r="NBP2" s="19"/>
      <c r="NBT2" s="19"/>
      <c r="NBX2" s="19"/>
      <c r="NCB2" s="19"/>
      <c r="NCF2" s="19"/>
      <c r="NCJ2" s="19"/>
      <c r="NCN2" s="19"/>
      <c r="NCR2" s="19"/>
      <c r="NCV2" s="19"/>
      <c r="NCZ2" s="19"/>
      <c r="NDD2" s="19"/>
      <c r="NDH2" s="19"/>
      <c r="NDL2" s="19"/>
      <c r="NDP2" s="19"/>
      <c r="NDT2" s="19"/>
      <c r="NDX2" s="19"/>
      <c r="NEB2" s="19"/>
      <c r="NEF2" s="19"/>
      <c r="NEJ2" s="19"/>
      <c r="NEN2" s="19"/>
      <c r="NER2" s="19"/>
      <c r="NEV2" s="19"/>
      <c r="NEZ2" s="19"/>
      <c r="NFD2" s="19"/>
      <c r="NFH2" s="19"/>
      <c r="NFL2" s="19"/>
      <c r="NFP2" s="19"/>
      <c r="NFT2" s="19"/>
      <c r="NFX2" s="19"/>
      <c r="NGB2" s="19"/>
      <c r="NGF2" s="19"/>
      <c r="NGJ2" s="19"/>
      <c r="NGN2" s="19"/>
      <c r="NGR2" s="19"/>
      <c r="NGV2" s="19"/>
      <c r="NGZ2" s="19"/>
      <c r="NHD2" s="19"/>
      <c r="NHH2" s="19"/>
      <c r="NHL2" s="19"/>
      <c r="NHP2" s="19"/>
      <c r="NHT2" s="19"/>
      <c r="NHX2" s="19"/>
      <c r="NIB2" s="19"/>
      <c r="NIF2" s="19"/>
      <c r="NIJ2" s="19"/>
      <c r="NIN2" s="19"/>
      <c r="NIR2" s="19"/>
      <c r="NIV2" s="19"/>
      <c r="NIZ2" s="19"/>
      <c r="NJD2" s="19"/>
      <c r="NJH2" s="19"/>
      <c r="NJL2" s="19"/>
      <c r="NJP2" s="19"/>
      <c r="NJT2" s="19"/>
      <c r="NJX2" s="19"/>
      <c r="NKB2" s="19"/>
      <c r="NKF2" s="19"/>
      <c r="NKJ2" s="19"/>
      <c r="NKN2" s="19"/>
      <c r="NKR2" s="19"/>
      <c r="NKV2" s="19"/>
      <c r="NKZ2" s="19"/>
      <c r="NLD2" s="19"/>
      <c r="NLH2" s="19"/>
      <c r="NLL2" s="19"/>
      <c r="NLP2" s="19"/>
      <c r="NLT2" s="19"/>
      <c r="NLX2" s="19"/>
      <c r="NMB2" s="19"/>
      <c r="NMF2" s="19"/>
      <c r="NMJ2" s="19"/>
      <c r="NMN2" s="19"/>
      <c r="NMR2" s="19"/>
      <c r="NMV2" s="19"/>
      <c r="NMZ2" s="19"/>
      <c r="NND2" s="19"/>
      <c r="NNH2" s="19"/>
      <c r="NNL2" s="19"/>
      <c r="NNP2" s="19"/>
      <c r="NNT2" s="19"/>
      <c r="NNX2" s="19"/>
      <c r="NOB2" s="19"/>
      <c r="NOF2" s="19"/>
      <c r="NOJ2" s="19"/>
      <c r="NON2" s="19"/>
      <c r="NOR2" s="19"/>
      <c r="NOV2" s="19"/>
      <c r="NOZ2" s="19"/>
      <c r="NPD2" s="19"/>
      <c r="NPH2" s="19"/>
      <c r="NPL2" s="19"/>
      <c r="NPP2" s="19"/>
      <c r="NPT2" s="19"/>
      <c r="NPX2" s="19"/>
      <c r="NQB2" s="19"/>
      <c r="NQF2" s="19"/>
      <c r="NQJ2" s="19"/>
      <c r="NQN2" s="19"/>
      <c r="NQR2" s="19"/>
      <c r="NQV2" s="19"/>
      <c r="NQZ2" s="19"/>
      <c r="NRD2" s="19"/>
      <c r="NRH2" s="19"/>
      <c r="NRL2" s="19"/>
      <c r="NRP2" s="19"/>
      <c r="NRT2" s="19"/>
      <c r="NRX2" s="19"/>
      <c r="NSB2" s="19"/>
      <c r="NSF2" s="19"/>
      <c r="NSJ2" s="19"/>
      <c r="NSN2" s="19"/>
      <c r="NSR2" s="19"/>
      <c r="NSV2" s="19"/>
      <c r="NSZ2" s="19"/>
      <c r="NTD2" s="19"/>
      <c r="NTH2" s="19"/>
      <c r="NTL2" s="19"/>
      <c r="NTP2" s="19"/>
      <c r="NTT2" s="19"/>
      <c r="NTX2" s="19"/>
      <c r="NUB2" s="19"/>
      <c r="NUF2" s="19"/>
      <c r="NUJ2" s="19"/>
      <c r="NUN2" s="19"/>
      <c r="NUR2" s="19"/>
      <c r="NUV2" s="19"/>
      <c r="NUZ2" s="19"/>
      <c r="NVD2" s="19"/>
      <c r="NVH2" s="19"/>
      <c r="NVL2" s="19"/>
      <c r="NVP2" s="19"/>
      <c r="NVT2" s="19"/>
      <c r="NVX2" s="19"/>
      <c r="NWB2" s="19"/>
      <c r="NWF2" s="19"/>
      <c r="NWJ2" s="19"/>
      <c r="NWN2" s="19"/>
      <c r="NWR2" s="19"/>
      <c r="NWV2" s="19"/>
      <c r="NWZ2" s="19"/>
      <c r="NXD2" s="19"/>
      <c r="NXH2" s="19"/>
      <c r="NXL2" s="19"/>
      <c r="NXP2" s="19"/>
      <c r="NXT2" s="19"/>
      <c r="NXX2" s="19"/>
      <c r="NYB2" s="19"/>
      <c r="NYF2" s="19"/>
      <c r="NYJ2" s="19"/>
      <c r="NYN2" s="19"/>
      <c r="NYR2" s="19"/>
      <c r="NYV2" s="19"/>
      <c r="NYZ2" s="19"/>
      <c r="NZD2" s="19"/>
      <c r="NZH2" s="19"/>
      <c r="NZL2" s="19"/>
      <c r="NZP2" s="19"/>
      <c r="NZT2" s="19"/>
      <c r="NZX2" s="19"/>
      <c r="OAB2" s="19"/>
      <c r="OAF2" s="19"/>
      <c r="OAJ2" s="19"/>
      <c r="OAN2" s="19"/>
      <c r="OAR2" s="19"/>
      <c r="OAV2" s="19"/>
      <c r="OAZ2" s="19"/>
      <c r="OBD2" s="19"/>
      <c r="OBH2" s="19"/>
      <c r="OBL2" s="19"/>
      <c r="OBP2" s="19"/>
      <c r="OBT2" s="19"/>
      <c r="OBX2" s="19"/>
      <c r="OCB2" s="19"/>
      <c r="OCF2" s="19"/>
      <c r="OCJ2" s="19"/>
      <c r="OCN2" s="19"/>
      <c r="OCR2" s="19"/>
      <c r="OCV2" s="19"/>
      <c r="OCZ2" s="19"/>
      <c r="ODD2" s="19"/>
      <c r="ODH2" s="19"/>
      <c r="ODL2" s="19"/>
      <c r="ODP2" s="19"/>
      <c r="ODT2" s="19"/>
      <c r="ODX2" s="19"/>
      <c r="OEB2" s="19"/>
      <c r="OEF2" s="19"/>
      <c r="OEJ2" s="19"/>
      <c r="OEN2" s="19"/>
      <c r="OER2" s="19"/>
      <c r="OEV2" s="19"/>
      <c r="OEZ2" s="19"/>
      <c r="OFD2" s="19"/>
      <c r="OFH2" s="19"/>
      <c r="OFL2" s="19"/>
      <c r="OFP2" s="19"/>
      <c r="OFT2" s="19"/>
      <c r="OFX2" s="19"/>
      <c r="OGB2" s="19"/>
      <c r="OGF2" s="19"/>
      <c r="OGJ2" s="19"/>
      <c r="OGN2" s="19"/>
      <c r="OGR2" s="19"/>
      <c r="OGV2" s="19"/>
      <c r="OGZ2" s="19"/>
      <c r="OHD2" s="19"/>
      <c r="OHH2" s="19"/>
      <c r="OHL2" s="19"/>
      <c r="OHP2" s="19"/>
      <c r="OHT2" s="19"/>
      <c r="OHX2" s="19"/>
      <c r="OIB2" s="19"/>
      <c r="OIF2" s="19"/>
      <c r="OIJ2" s="19"/>
      <c r="OIN2" s="19"/>
      <c r="OIR2" s="19"/>
      <c r="OIV2" s="19"/>
      <c r="OIZ2" s="19"/>
      <c r="OJD2" s="19"/>
      <c r="OJH2" s="19"/>
      <c r="OJL2" s="19"/>
      <c r="OJP2" s="19"/>
      <c r="OJT2" s="19"/>
      <c r="OJX2" s="19"/>
      <c r="OKB2" s="19"/>
      <c r="OKF2" s="19"/>
      <c r="OKJ2" s="19"/>
      <c r="OKN2" s="19"/>
      <c r="OKR2" s="19"/>
      <c r="OKV2" s="19"/>
      <c r="OKZ2" s="19"/>
      <c r="OLD2" s="19"/>
      <c r="OLH2" s="19"/>
      <c r="OLL2" s="19"/>
      <c r="OLP2" s="19"/>
      <c r="OLT2" s="19"/>
      <c r="OLX2" s="19"/>
      <c r="OMB2" s="19"/>
      <c r="OMF2" s="19"/>
      <c r="OMJ2" s="19"/>
      <c r="OMN2" s="19"/>
      <c r="OMR2" s="19"/>
      <c r="OMV2" s="19"/>
      <c r="OMZ2" s="19"/>
      <c r="OND2" s="19"/>
      <c r="ONH2" s="19"/>
      <c r="ONL2" s="19"/>
      <c r="ONP2" s="19"/>
      <c r="ONT2" s="19"/>
      <c r="ONX2" s="19"/>
      <c r="OOB2" s="19"/>
      <c r="OOF2" s="19"/>
      <c r="OOJ2" s="19"/>
      <c r="OON2" s="19"/>
      <c r="OOR2" s="19"/>
      <c r="OOV2" s="19"/>
      <c r="OOZ2" s="19"/>
      <c r="OPD2" s="19"/>
      <c r="OPH2" s="19"/>
      <c r="OPL2" s="19"/>
      <c r="OPP2" s="19"/>
      <c r="OPT2" s="19"/>
      <c r="OPX2" s="19"/>
      <c r="OQB2" s="19"/>
      <c r="OQF2" s="19"/>
      <c r="OQJ2" s="19"/>
      <c r="OQN2" s="19"/>
      <c r="OQR2" s="19"/>
      <c r="OQV2" s="19"/>
      <c r="OQZ2" s="19"/>
      <c r="ORD2" s="19"/>
      <c r="ORH2" s="19"/>
      <c r="ORL2" s="19"/>
      <c r="ORP2" s="19"/>
      <c r="ORT2" s="19"/>
      <c r="ORX2" s="19"/>
      <c r="OSB2" s="19"/>
      <c r="OSF2" s="19"/>
      <c r="OSJ2" s="19"/>
      <c r="OSN2" s="19"/>
      <c r="OSR2" s="19"/>
      <c r="OSV2" s="19"/>
      <c r="OSZ2" s="19"/>
      <c r="OTD2" s="19"/>
      <c r="OTH2" s="19"/>
      <c r="OTL2" s="19"/>
      <c r="OTP2" s="19"/>
      <c r="OTT2" s="19"/>
      <c r="OTX2" s="19"/>
      <c r="OUB2" s="19"/>
      <c r="OUF2" s="19"/>
      <c r="OUJ2" s="19"/>
      <c r="OUN2" s="19"/>
      <c r="OUR2" s="19"/>
      <c r="OUV2" s="19"/>
      <c r="OUZ2" s="19"/>
      <c r="OVD2" s="19"/>
      <c r="OVH2" s="19"/>
      <c r="OVL2" s="19"/>
      <c r="OVP2" s="19"/>
      <c r="OVT2" s="19"/>
      <c r="OVX2" s="19"/>
      <c r="OWB2" s="19"/>
      <c r="OWF2" s="19"/>
      <c r="OWJ2" s="19"/>
      <c r="OWN2" s="19"/>
      <c r="OWR2" s="19"/>
      <c r="OWV2" s="19"/>
      <c r="OWZ2" s="19"/>
      <c r="OXD2" s="19"/>
      <c r="OXH2" s="19"/>
      <c r="OXL2" s="19"/>
      <c r="OXP2" s="19"/>
      <c r="OXT2" s="19"/>
      <c r="OXX2" s="19"/>
      <c r="OYB2" s="19"/>
      <c r="OYF2" s="19"/>
      <c r="OYJ2" s="19"/>
      <c r="OYN2" s="19"/>
      <c r="OYR2" s="19"/>
      <c r="OYV2" s="19"/>
      <c r="OYZ2" s="19"/>
      <c r="OZD2" s="19"/>
      <c r="OZH2" s="19"/>
      <c r="OZL2" s="19"/>
      <c r="OZP2" s="19"/>
      <c r="OZT2" s="19"/>
      <c r="OZX2" s="19"/>
      <c r="PAB2" s="19"/>
      <c r="PAF2" s="19"/>
      <c r="PAJ2" s="19"/>
      <c r="PAN2" s="19"/>
      <c r="PAR2" s="19"/>
      <c r="PAV2" s="19"/>
      <c r="PAZ2" s="19"/>
      <c r="PBD2" s="19"/>
      <c r="PBH2" s="19"/>
      <c r="PBL2" s="19"/>
      <c r="PBP2" s="19"/>
      <c r="PBT2" s="19"/>
      <c r="PBX2" s="19"/>
      <c r="PCB2" s="19"/>
      <c r="PCF2" s="19"/>
      <c r="PCJ2" s="19"/>
      <c r="PCN2" s="19"/>
      <c r="PCR2" s="19"/>
      <c r="PCV2" s="19"/>
      <c r="PCZ2" s="19"/>
      <c r="PDD2" s="19"/>
      <c r="PDH2" s="19"/>
      <c r="PDL2" s="19"/>
      <c r="PDP2" s="19"/>
      <c r="PDT2" s="19"/>
      <c r="PDX2" s="19"/>
      <c r="PEB2" s="19"/>
      <c r="PEF2" s="19"/>
      <c r="PEJ2" s="19"/>
      <c r="PEN2" s="19"/>
      <c r="PER2" s="19"/>
      <c r="PEV2" s="19"/>
      <c r="PEZ2" s="19"/>
      <c r="PFD2" s="19"/>
      <c r="PFH2" s="19"/>
      <c r="PFL2" s="19"/>
      <c r="PFP2" s="19"/>
      <c r="PFT2" s="19"/>
      <c r="PFX2" s="19"/>
      <c r="PGB2" s="19"/>
      <c r="PGF2" s="19"/>
      <c r="PGJ2" s="19"/>
      <c r="PGN2" s="19"/>
      <c r="PGR2" s="19"/>
      <c r="PGV2" s="19"/>
      <c r="PGZ2" s="19"/>
      <c r="PHD2" s="19"/>
      <c r="PHH2" s="19"/>
      <c r="PHL2" s="19"/>
      <c r="PHP2" s="19"/>
      <c r="PHT2" s="19"/>
      <c r="PHX2" s="19"/>
      <c r="PIB2" s="19"/>
      <c r="PIF2" s="19"/>
      <c r="PIJ2" s="19"/>
      <c r="PIN2" s="19"/>
      <c r="PIR2" s="19"/>
      <c r="PIV2" s="19"/>
      <c r="PIZ2" s="19"/>
      <c r="PJD2" s="19"/>
      <c r="PJH2" s="19"/>
      <c r="PJL2" s="19"/>
      <c r="PJP2" s="19"/>
      <c r="PJT2" s="19"/>
      <c r="PJX2" s="19"/>
      <c r="PKB2" s="19"/>
      <c r="PKF2" s="19"/>
      <c r="PKJ2" s="19"/>
      <c r="PKN2" s="19"/>
      <c r="PKR2" s="19"/>
      <c r="PKV2" s="19"/>
      <c r="PKZ2" s="19"/>
      <c r="PLD2" s="19"/>
      <c r="PLH2" s="19"/>
      <c r="PLL2" s="19"/>
      <c r="PLP2" s="19"/>
      <c r="PLT2" s="19"/>
      <c r="PLX2" s="19"/>
      <c r="PMB2" s="19"/>
      <c r="PMF2" s="19"/>
      <c r="PMJ2" s="19"/>
      <c r="PMN2" s="19"/>
      <c r="PMR2" s="19"/>
      <c r="PMV2" s="19"/>
      <c r="PMZ2" s="19"/>
      <c r="PND2" s="19"/>
      <c r="PNH2" s="19"/>
      <c r="PNL2" s="19"/>
      <c r="PNP2" s="19"/>
      <c r="PNT2" s="19"/>
      <c r="PNX2" s="19"/>
      <c r="POB2" s="19"/>
      <c r="POF2" s="19"/>
      <c r="POJ2" s="19"/>
      <c r="PON2" s="19"/>
      <c r="POR2" s="19"/>
      <c r="POV2" s="19"/>
      <c r="POZ2" s="19"/>
      <c r="PPD2" s="19"/>
      <c r="PPH2" s="19"/>
      <c r="PPL2" s="19"/>
      <c r="PPP2" s="19"/>
      <c r="PPT2" s="19"/>
      <c r="PPX2" s="19"/>
      <c r="PQB2" s="19"/>
      <c r="PQF2" s="19"/>
      <c r="PQJ2" s="19"/>
      <c r="PQN2" s="19"/>
      <c r="PQR2" s="19"/>
      <c r="PQV2" s="19"/>
      <c r="PQZ2" s="19"/>
      <c r="PRD2" s="19"/>
      <c r="PRH2" s="19"/>
      <c r="PRL2" s="19"/>
      <c r="PRP2" s="19"/>
      <c r="PRT2" s="19"/>
      <c r="PRX2" s="19"/>
      <c r="PSB2" s="19"/>
      <c r="PSF2" s="19"/>
      <c r="PSJ2" s="19"/>
      <c r="PSN2" s="19"/>
      <c r="PSR2" s="19"/>
      <c r="PSV2" s="19"/>
      <c r="PSZ2" s="19"/>
      <c r="PTD2" s="19"/>
      <c r="PTH2" s="19"/>
      <c r="PTL2" s="19"/>
      <c r="PTP2" s="19"/>
      <c r="PTT2" s="19"/>
      <c r="PTX2" s="19"/>
      <c r="PUB2" s="19"/>
      <c r="PUF2" s="19"/>
      <c r="PUJ2" s="19"/>
      <c r="PUN2" s="19"/>
      <c r="PUR2" s="19"/>
      <c r="PUV2" s="19"/>
      <c r="PUZ2" s="19"/>
      <c r="PVD2" s="19"/>
      <c r="PVH2" s="19"/>
      <c r="PVL2" s="19"/>
      <c r="PVP2" s="19"/>
      <c r="PVT2" s="19"/>
      <c r="PVX2" s="19"/>
      <c r="PWB2" s="19"/>
      <c r="PWF2" s="19"/>
      <c r="PWJ2" s="19"/>
      <c r="PWN2" s="19"/>
      <c r="PWR2" s="19"/>
      <c r="PWV2" s="19"/>
      <c r="PWZ2" s="19"/>
      <c r="PXD2" s="19"/>
      <c r="PXH2" s="19"/>
      <c r="PXL2" s="19"/>
      <c r="PXP2" s="19"/>
      <c r="PXT2" s="19"/>
      <c r="PXX2" s="19"/>
      <c r="PYB2" s="19"/>
      <c r="PYF2" s="19"/>
      <c r="PYJ2" s="19"/>
      <c r="PYN2" s="19"/>
      <c r="PYR2" s="19"/>
      <c r="PYV2" s="19"/>
      <c r="PYZ2" s="19"/>
      <c r="PZD2" s="19"/>
      <c r="PZH2" s="19"/>
      <c r="PZL2" s="19"/>
      <c r="PZP2" s="19"/>
      <c r="PZT2" s="19"/>
      <c r="PZX2" s="19"/>
      <c r="QAB2" s="19"/>
      <c r="QAF2" s="19"/>
      <c r="QAJ2" s="19"/>
      <c r="QAN2" s="19"/>
      <c r="QAR2" s="19"/>
      <c r="QAV2" s="19"/>
      <c r="QAZ2" s="19"/>
      <c r="QBD2" s="19"/>
      <c r="QBH2" s="19"/>
      <c r="QBL2" s="19"/>
      <c r="QBP2" s="19"/>
      <c r="QBT2" s="19"/>
      <c r="QBX2" s="19"/>
      <c r="QCB2" s="19"/>
      <c r="QCF2" s="19"/>
      <c r="QCJ2" s="19"/>
      <c r="QCN2" s="19"/>
      <c r="QCR2" s="19"/>
      <c r="QCV2" s="19"/>
      <c r="QCZ2" s="19"/>
      <c r="QDD2" s="19"/>
      <c r="QDH2" s="19"/>
      <c r="QDL2" s="19"/>
      <c r="QDP2" s="19"/>
      <c r="QDT2" s="19"/>
      <c r="QDX2" s="19"/>
      <c r="QEB2" s="19"/>
      <c r="QEF2" s="19"/>
      <c r="QEJ2" s="19"/>
      <c r="QEN2" s="19"/>
      <c r="QER2" s="19"/>
      <c r="QEV2" s="19"/>
      <c r="QEZ2" s="19"/>
      <c r="QFD2" s="19"/>
      <c r="QFH2" s="19"/>
      <c r="QFL2" s="19"/>
      <c r="QFP2" s="19"/>
      <c r="QFT2" s="19"/>
      <c r="QFX2" s="19"/>
      <c r="QGB2" s="19"/>
      <c r="QGF2" s="19"/>
      <c r="QGJ2" s="19"/>
      <c r="QGN2" s="19"/>
      <c r="QGR2" s="19"/>
      <c r="QGV2" s="19"/>
      <c r="QGZ2" s="19"/>
      <c r="QHD2" s="19"/>
      <c r="QHH2" s="19"/>
      <c r="QHL2" s="19"/>
      <c r="QHP2" s="19"/>
      <c r="QHT2" s="19"/>
      <c r="QHX2" s="19"/>
      <c r="QIB2" s="19"/>
      <c r="QIF2" s="19"/>
      <c r="QIJ2" s="19"/>
      <c r="QIN2" s="19"/>
      <c r="QIR2" s="19"/>
      <c r="QIV2" s="19"/>
      <c r="QIZ2" s="19"/>
      <c r="QJD2" s="19"/>
      <c r="QJH2" s="19"/>
      <c r="QJL2" s="19"/>
      <c r="QJP2" s="19"/>
      <c r="QJT2" s="19"/>
      <c r="QJX2" s="19"/>
      <c r="QKB2" s="19"/>
      <c r="QKF2" s="19"/>
      <c r="QKJ2" s="19"/>
      <c r="QKN2" s="19"/>
      <c r="QKR2" s="19"/>
      <c r="QKV2" s="19"/>
      <c r="QKZ2" s="19"/>
      <c r="QLD2" s="19"/>
      <c r="QLH2" s="19"/>
      <c r="QLL2" s="19"/>
      <c r="QLP2" s="19"/>
      <c r="QLT2" s="19"/>
      <c r="QLX2" s="19"/>
      <c r="QMB2" s="19"/>
      <c r="QMF2" s="19"/>
      <c r="QMJ2" s="19"/>
      <c r="QMN2" s="19"/>
      <c r="QMR2" s="19"/>
      <c r="QMV2" s="19"/>
      <c r="QMZ2" s="19"/>
      <c r="QND2" s="19"/>
      <c r="QNH2" s="19"/>
      <c r="QNL2" s="19"/>
      <c r="QNP2" s="19"/>
      <c r="QNT2" s="19"/>
      <c r="QNX2" s="19"/>
      <c r="QOB2" s="19"/>
      <c r="QOF2" s="19"/>
      <c r="QOJ2" s="19"/>
      <c r="QON2" s="19"/>
      <c r="QOR2" s="19"/>
      <c r="QOV2" s="19"/>
      <c r="QOZ2" s="19"/>
      <c r="QPD2" s="19"/>
      <c r="QPH2" s="19"/>
      <c r="QPL2" s="19"/>
      <c r="QPP2" s="19"/>
      <c r="QPT2" s="19"/>
      <c r="QPX2" s="19"/>
      <c r="QQB2" s="19"/>
      <c r="QQF2" s="19"/>
      <c r="QQJ2" s="19"/>
      <c r="QQN2" s="19"/>
      <c r="QQR2" s="19"/>
      <c r="QQV2" s="19"/>
      <c r="QQZ2" s="19"/>
      <c r="QRD2" s="19"/>
      <c r="QRH2" s="19"/>
      <c r="QRL2" s="19"/>
      <c r="QRP2" s="19"/>
      <c r="QRT2" s="19"/>
      <c r="QRX2" s="19"/>
      <c r="QSB2" s="19"/>
      <c r="QSF2" s="19"/>
      <c r="QSJ2" s="19"/>
      <c r="QSN2" s="19"/>
      <c r="QSR2" s="19"/>
      <c r="QSV2" s="19"/>
      <c r="QSZ2" s="19"/>
      <c r="QTD2" s="19"/>
      <c r="QTH2" s="19"/>
      <c r="QTL2" s="19"/>
      <c r="QTP2" s="19"/>
      <c r="QTT2" s="19"/>
      <c r="QTX2" s="19"/>
      <c r="QUB2" s="19"/>
      <c r="QUF2" s="19"/>
      <c r="QUJ2" s="19"/>
      <c r="QUN2" s="19"/>
      <c r="QUR2" s="19"/>
      <c r="QUV2" s="19"/>
      <c r="QUZ2" s="19"/>
      <c r="QVD2" s="19"/>
      <c r="QVH2" s="19"/>
      <c r="QVL2" s="19"/>
      <c r="QVP2" s="19"/>
      <c r="QVT2" s="19"/>
      <c r="QVX2" s="19"/>
      <c r="QWB2" s="19"/>
      <c r="QWF2" s="19"/>
      <c r="QWJ2" s="19"/>
      <c r="QWN2" s="19"/>
      <c r="QWR2" s="19"/>
      <c r="QWV2" s="19"/>
      <c r="QWZ2" s="19"/>
      <c r="QXD2" s="19"/>
      <c r="QXH2" s="19"/>
      <c r="QXL2" s="19"/>
      <c r="QXP2" s="19"/>
      <c r="QXT2" s="19"/>
      <c r="QXX2" s="19"/>
      <c r="QYB2" s="19"/>
      <c r="QYF2" s="19"/>
      <c r="QYJ2" s="19"/>
      <c r="QYN2" s="19"/>
      <c r="QYR2" s="19"/>
      <c r="QYV2" s="19"/>
      <c r="QYZ2" s="19"/>
      <c r="QZD2" s="19"/>
      <c r="QZH2" s="19"/>
      <c r="QZL2" s="19"/>
      <c r="QZP2" s="19"/>
      <c r="QZT2" s="19"/>
      <c r="QZX2" s="19"/>
      <c r="RAB2" s="19"/>
      <c r="RAF2" s="19"/>
      <c r="RAJ2" s="19"/>
      <c r="RAN2" s="19"/>
      <c r="RAR2" s="19"/>
      <c r="RAV2" s="19"/>
      <c r="RAZ2" s="19"/>
      <c r="RBD2" s="19"/>
      <c r="RBH2" s="19"/>
      <c r="RBL2" s="19"/>
      <c r="RBP2" s="19"/>
      <c r="RBT2" s="19"/>
      <c r="RBX2" s="19"/>
      <c r="RCB2" s="19"/>
      <c r="RCF2" s="19"/>
      <c r="RCJ2" s="19"/>
      <c r="RCN2" s="19"/>
      <c r="RCR2" s="19"/>
      <c r="RCV2" s="19"/>
      <c r="RCZ2" s="19"/>
      <c r="RDD2" s="19"/>
      <c r="RDH2" s="19"/>
      <c r="RDL2" s="19"/>
      <c r="RDP2" s="19"/>
      <c r="RDT2" s="19"/>
      <c r="RDX2" s="19"/>
      <c r="REB2" s="19"/>
      <c r="REF2" s="19"/>
      <c r="REJ2" s="19"/>
      <c r="REN2" s="19"/>
      <c r="RER2" s="19"/>
      <c r="REV2" s="19"/>
      <c r="REZ2" s="19"/>
      <c r="RFD2" s="19"/>
      <c r="RFH2" s="19"/>
      <c r="RFL2" s="19"/>
      <c r="RFP2" s="19"/>
      <c r="RFT2" s="19"/>
      <c r="RFX2" s="19"/>
      <c r="RGB2" s="19"/>
      <c r="RGF2" s="19"/>
      <c r="RGJ2" s="19"/>
      <c r="RGN2" s="19"/>
      <c r="RGR2" s="19"/>
      <c r="RGV2" s="19"/>
      <c r="RGZ2" s="19"/>
      <c r="RHD2" s="19"/>
      <c r="RHH2" s="19"/>
      <c r="RHL2" s="19"/>
      <c r="RHP2" s="19"/>
      <c r="RHT2" s="19"/>
      <c r="RHX2" s="19"/>
      <c r="RIB2" s="19"/>
      <c r="RIF2" s="19"/>
      <c r="RIJ2" s="19"/>
      <c r="RIN2" s="19"/>
      <c r="RIR2" s="19"/>
      <c r="RIV2" s="19"/>
      <c r="RIZ2" s="19"/>
      <c r="RJD2" s="19"/>
      <c r="RJH2" s="19"/>
      <c r="RJL2" s="19"/>
      <c r="RJP2" s="19"/>
      <c r="RJT2" s="19"/>
      <c r="RJX2" s="19"/>
      <c r="RKB2" s="19"/>
      <c r="RKF2" s="19"/>
      <c r="RKJ2" s="19"/>
      <c r="RKN2" s="19"/>
      <c r="RKR2" s="19"/>
      <c r="RKV2" s="19"/>
      <c r="RKZ2" s="19"/>
      <c r="RLD2" s="19"/>
      <c r="RLH2" s="19"/>
      <c r="RLL2" s="19"/>
      <c r="RLP2" s="19"/>
      <c r="RLT2" s="19"/>
      <c r="RLX2" s="19"/>
      <c r="RMB2" s="19"/>
      <c r="RMF2" s="19"/>
      <c r="RMJ2" s="19"/>
      <c r="RMN2" s="19"/>
      <c r="RMR2" s="19"/>
      <c r="RMV2" s="19"/>
      <c r="RMZ2" s="19"/>
      <c r="RND2" s="19"/>
      <c r="RNH2" s="19"/>
      <c r="RNL2" s="19"/>
      <c r="RNP2" s="19"/>
      <c r="RNT2" s="19"/>
      <c r="RNX2" s="19"/>
      <c r="ROB2" s="19"/>
      <c r="ROF2" s="19"/>
      <c r="ROJ2" s="19"/>
      <c r="RON2" s="19"/>
      <c r="ROR2" s="19"/>
      <c r="ROV2" s="19"/>
      <c r="ROZ2" s="19"/>
      <c r="RPD2" s="19"/>
      <c r="RPH2" s="19"/>
      <c r="RPL2" s="19"/>
      <c r="RPP2" s="19"/>
      <c r="RPT2" s="19"/>
      <c r="RPX2" s="19"/>
      <c r="RQB2" s="19"/>
      <c r="RQF2" s="19"/>
      <c r="RQJ2" s="19"/>
      <c r="RQN2" s="19"/>
      <c r="RQR2" s="19"/>
      <c r="RQV2" s="19"/>
      <c r="RQZ2" s="19"/>
      <c r="RRD2" s="19"/>
      <c r="RRH2" s="19"/>
      <c r="RRL2" s="19"/>
      <c r="RRP2" s="19"/>
      <c r="RRT2" s="19"/>
      <c r="RRX2" s="19"/>
      <c r="RSB2" s="19"/>
      <c r="RSF2" s="19"/>
      <c r="RSJ2" s="19"/>
      <c r="RSN2" s="19"/>
      <c r="RSR2" s="19"/>
      <c r="RSV2" s="19"/>
      <c r="RSZ2" s="19"/>
      <c r="RTD2" s="19"/>
      <c r="RTH2" s="19"/>
      <c r="RTL2" s="19"/>
      <c r="RTP2" s="19"/>
      <c r="RTT2" s="19"/>
      <c r="RTX2" s="19"/>
      <c r="RUB2" s="19"/>
      <c r="RUF2" s="19"/>
      <c r="RUJ2" s="19"/>
      <c r="RUN2" s="19"/>
      <c r="RUR2" s="19"/>
      <c r="RUV2" s="19"/>
      <c r="RUZ2" s="19"/>
      <c r="RVD2" s="19"/>
      <c r="RVH2" s="19"/>
      <c r="RVL2" s="19"/>
      <c r="RVP2" s="19"/>
      <c r="RVT2" s="19"/>
      <c r="RVX2" s="19"/>
      <c r="RWB2" s="19"/>
      <c r="RWF2" s="19"/>
      <c r="RWJ2" s="19"/>
      <c r="RWN2" s="19"/>
      <c r="RWR2" s="19"/>
      <c r="RWV2" s="19"/>
      <c r="RWZ2" s="19"/>
      <c r="RXD2" s="19"/>
      <c r="RXH2" s="19"/>
      <c r="RXL2" s="19"/>
      <c r="RXP2" s="19"/>
      <c r="RXT2" s="19"/>
      <c r="RXX2" s="19"/>
      <c r="RYB2" s="19"/>
      <c r="RYF2" s="19"/>
      <c r="RYJ2" s="19"/>
      <c r="RYN2" s="19"/>
      <c r="RYR2" s="19"/>
      <c r="RYV2" s="19"/>
      <c r="RYZ2" s="19"/>
      <c r="RZD2" s="19"/>
      <c r="RZH2" s="19"/>
      <c r="RZL2" s="19"/>
      <c r="RZP2" s="19"/>
      <c r="RZT2" s="19"/>
      <c r="RZX2" s="19"/>
      <c r="SAB2" s="19"/>
      <c r="SAF2" s="19"/>
      <c r="SAJ2" s="19"/>
      <c r="SAN2" s="19"/>
      <c r="SAR2" s="19"/>
      <c r="SAV2" s="19"/>
      <c r="SAZ2" s="19"/>
      <c r="SBD2" s="19"/>
      <c r="SBH2" s="19"/>
      <c r="SBL2" s="19"/>
      <c r="SBP2" s="19"/>
      <c r="SBT2" s="19"/>
      <c r="SBX2" s="19"/>
      <c r="SCB2" s="19"/>
      <c r="SCF2" s="19"/>
      <c r="SCJ2" s="19"/>
      <c r="SCN2" s="19"/>
      <c r="SCR2" s="19"/>
      <c r="SCV2" s="19"/>
      <c r="SCZ2" s="19"/>
      <c r="SDD2" s="19"/>
      <c r="SDH2" s="19"/>
      <c r="SDL2" s="19"/>
      <c r="SDP2" s="19"/>
      <c r="SDT2" s="19"/>
      <c r="SDX2" s="19"/>
      <c r="SEB2" s="19"/>
      <c r="SEF2" s="19"/>
      <c r="SEJ2" s="19"/>
      <c r="SEN2" s="19"/>
      <c r="SER2" s="19"/>
      <c r="SEV2" s="19"/>
      <c r="SEZ2" s="19"/>
      <c r="SFD2" s="19"/>
      <c r="SFH2" s="19"/>
      <c r="SFL2" s="19"/>
      <c r="SFP2" s="19"/>
      <c r="SFT2" s="19"/>
      <c r="SFX2" s="19"/>
      <c r="SGB2" s="19"/>
      <c r="SGF2" s="19"/>
      <c r="SGJ2" s="19"/>
      <c r="SGN2" s="19"/>
      <c r="SGR2" s="19"/>
      <c r="SGV2" s="19"/>
      <c r="SGZ2" s="19"/>
      <c r="SHD2" s="19"/>
      <c r="SHH2" s="19"/>
      <c r="SHL2" s="19"/>
      <c r="SHP2" s="19"/>
      <c r="SHT2" s="19"/>
      <c r="SHX2" s="19"/>
      <c r="SIB2" s="19"/>
      <c r="SIF2" s="19"/>
      <c r="SIJ2" s="19"/>
      <c r="SIN2" s="19"/>
      <c r="SIR2" s="19"/>
      <c r="SIV2" s="19"/>
      <c r="SIZ2" s="19"/>
      <c r="SJD2" s="19"/>
      <c r="SJH2" s="19"/>
      <c r="SJL2" s="19"/>
      <c r="SJP2" s="19"/>
      <c r="SJT2" s="19"/>
      <c r="SJX2" s="19"/>
      <c r="SKB2" s="19"/>
      <c r="SKF2" s="19"/>
      <c r="SKJ2" s="19"/>
      <c r="SKN2" s="19"/>
      <c r="SKR2" s="19"/>
      <c r="SKV2" s="19"/>
      <c r="SKZ2" s="19"/>
      <c r="SLD2" s="19"/>
      <c r="SLH2" s="19"/>
      <c r="SLL2" s="19"/>
      <c r="SLP2" s="19"/>
      <c r="SLT2" s="19"/>
      <c r="SLX2" s="19"/>
      <c r="SMB2" s="19"/>
      <c r="SMF2" s="19"/>
      <c r="SMJ2" s="19"/>
      <c r="SMN2" s="19"/>
      <c r="SMR2" s="19"/>
      <c r="SMV2" s="19"/>
      <c r="SMZ2" s="19"/>
      <c r="SND2" s="19"/>
      <c r="SNH2" s="19"/>
      <c r="SNL2" s="19"/>
      <c r="SNP2" s="19"/>
      <c r="SNT2" s="19"/>
      <c r="SNX2" s="19"/>
      <c r="SOB2" s="19"/>
      <c r="SOF2" s="19"/>
      <c r="SOJ2" s="19"/>
      <c r="SON2" s="19"/>
      <c r="SOR2" s="19"/>
      <c r="SOV2" s="19"/>
      <c r="SOZ2" s="19"/>
      <c r="SPD2" s="19"/>
      <c r="SPH2" s="19"/>
      <c r="SPL2" s="19"/>
      <c r="SPP2" s="19"/>
      <c r="SPT2" s="19"/>
      <c r="SPX2" s="19"/>
      <c r="SQB2" s="19"/>
      <c r="SQF2" s="19"/>
      <c r="SQJ2" s="19"/>
      <c r="SQN2" s="19"/>
      <c r="SQR2" s="19"/>
      <c r="SQV2" s="19"/>
      <c r="SQZ2" s="19"/>
      <c r="SRD2" s="19"/>
      <c r="SRH2" s="19"/>
      <c r="SRL2" s="19"/>
      <c r="SRP2" s="19"/>
      <c r="SRT2" s="19"/>
      <c r="SRX2" s="19"/>
      <c r="SSB2" s="19"/>
      <c r="SSF2" s="19"/>
      <c r="SSJ2" s="19"/>
      <c r="SSN2" s="19"/>
      <c r="SSR2" s="19"/>
      <c r="SSV2" s="19"/>
      <c r="SSZ2" s="19"/>
      <c r="STD2" s="19"/>
      <c r="STH2" s="19"/>
      <c r="STL2" s="19"/>
      <c r="STP2" s="19"/>
      <c r="STT2" s="19"/>
      <c r="STX2" s="19"/>
      <c r="SUB2" s="19"/>
      <c r="SUF2" s="19"/>
      <c r="SUJ2" s="19"/>
      <c r="SUN2" s="19"/>
      <c r="SUR2" s="19"/>
      <c r="SUV2" s="19"/>
      <c r="SUZ2" s="19"/>
      <c r="SVD2" s="19"/>
      <c r="SVH2" s="19"/>
      <c r="SVL2" s="19"/>
      <c r="SVP2" s="19"/>
      <c r="SVT2" s="19"/>
      <c r="SVX2" s="19"/>
      <c r="SWB2" s="19"/>
      <c r="SWF2" s="19"/>
      <c r="SWJ2" s="19"/>
      <c r="SWN2" s="19"/>
      <c r="SWR2" s="19"/>
      <c r="SWV2" s="19"/>
      <c r="SWZ2" s="19"/>
      <c r="SXD2" s="19"/>
      <c r="SXH2" s="19"/>
      <c r="SXL2" s="19"/>
      <c r="SXP2" s="19"/>
      <c r="SXT2" s="19"/>
      <c r="SXX2" s="19"/>
      <c r="SYB2" s="19"/>
      <c r="SYF2" s="19"/>
      <c r="SYJ2" s="19"/>
      <c r="SYN2" s="19"/>
      <c r="SYR2" s="19"/>
      <c r="SYV2" s="19"/>
      <c r="SYZ2" s="19"/>
      <c r="SZD2" s="19"/>
      <c r="SZH2" s="19"/>
      <c r="SZL2" s="19"/>
      <c r="SZP2" s="19"/>
      <c r="SZT2" s="19"/>
      <c r="SZX2" s="19"/>
      <c r="TAB2" s="19"/>
      <c r="TAF2" s="19"/>
      <c r="TAJ2" s="19"/>
      <c r="TAN2" s="19"/>
      <c r="TAR2" s="19"/>
      <c r="TAV2" s="19"/>
      <c r="TAZ2" s="19"/>
      <c r="TBD2" s="19"/>
      <c r="TBH2" s="19"/>
      <c r="TBL2" s="19"/>
      <c r="TBP2" s="19"/>
      <c r="TBT2" s="19"/>
      <c r="TBX2" s="19"/>
      <c r="TCB2" s="19"/>
      <c r="TCF2" s="19"/>
      <c r="TCJ2" s="19"/>
      <c r="TCN2" s="19"/>
      <c r="TCR2" s="19"/>
      <c r="TCV2" s="19"/>
      <c r="TCZ2" s="19"/>
      <c r="TDD2" s="19"/>
      <c r="TDH2" s="19"/>
      <c r="TDL2" s="19"/>
      <c r="TDP2" s="19"/>
      <c r="TDT2" s="19"/>
      <c r="TDX2" s="19"/>
      <c r="TEB2" s="19"/>
      <c r="TEF2" s="19"/>
      <c r="TEJ2" s="19"/>
      <c r="TEN2" s="19"/>
      <c r="TER2" s="19"/>
      <c r="TEV2" s="19"/>
      <c r="TEZ2" s="19"/>
      <c r="TFD2" s="19"/>
      <c r="TFH2" s="19"/>
      <c r="TFL2" s="19"/>
      <c r="TFP2" s="19"/>
      <c r="TFT2" s="19"/>
      <c r="TFX2" s="19"/>
      <c r="TGB2" s="19"/>
      <c r="TGF2" s="19"/>
      <c r="TGJ2" s="19"/>
      <c r="TGN2" s="19"/>
      <c r="TGR2" s="19"/>
      <c r="TGV2" s="19"/>
      <c r="TGZ2" s="19"/>
      <c r="THD2" s="19"/>
      <c r="THH2" s="19"/>
      <c r="THL2" s="19"/>
      <c r="THP2" s="19"/>
      <c r="THT2" s="19"/>
      <c r="THX2" s="19"/>
      <c r="TIB2" s="19"/>
      <c r="TIF2" s="19"/>
      <c r="TIJ2" s="19"/>
      <c r="TIN2" s="19"/>
      <c r="TIR2" s="19"/>
      <c r="TIV2" s="19"/>
      <c r="TIZ2" s="19"/>
      <c r="TJD2" s="19"/>
      <c r="TJH2" s="19"/>
      <c r="TJL2" s="19"/>
      <c r="TJP2" s="19"/>
      <c r="TJT2" s="19"/>
      <c r="TJX2" s="19"/>
      <c r="TKB2" s="19"/>
      <c r="TKF2" s="19"/>
      <c r="TKJ2" s="19"/>
      <c r="TKN2" s="19"/>
      <c r="TKR2" s="19"/>
      <c r="TKV2" s="19"/>
      <c r="TKZ2" s="19"/>
      <c r="TLD2" s="19"/>
      <c r="TLH2" s="19"/>
      <c r="TLL2" s="19"/>
      <c r="TLP2" s="19"/>
      <c r="TLT2" s="19"/>
      <c r="TLX2" s="19"/>
      <c r="TMB2" s="19"/>
      <c r="TMF2" s="19"/>
      <c r="TMJ2" s="19"/>
      <c r="TMN2" s="19"/>
      <c r="TMR2" s="19"/>
      <c r="TMV2" s="19"/>
      <c r="TMZ2" s="19"/>
      <c r="TND2" s="19"/>
      <c r="TNH2" s="19"/>
      <c r="TNL2" s="19"/>
      <c r="TNP2" s="19"/>
      <c r="TNT2" s="19"/>
      <c r="TNX2" s="19"/>
      <c r="TOB2" s="19"/>
      <c r="TOF2" s="19"/>
      <c r="TOJ2" s="19"/>
      <c r="TON2" s="19"/>
      <c r="TOR2" s="19"/>
      <c r="TOV2" s="19"/>
      <c r="TOZ2" s="19"/>
      <c r="TPD2" s="19"/>
      <c r="TPH2" s="19"/>
      <c r="TPL2" s="19"/>
      <c r="TPP2" s="19"/>
      <c r="TPT2" s="19"/>
      <c r="TPX2" s="19"/>
      <c r="TQB2" s="19"/>
      <c r="TQF2" s="19"/>
      <c r="TQJ2" s="19"/>
      <c r="TQN2" s="19"/>
      <c r="TQR2" s="19"/>
      <c r="TQV2" s="19"/>
      <c r="TQZ2" s="19"/>
      <c r="TRD2" s="19"/>
      <c r="TRH2" s="19"/>
      <c r="TRL2" s="19"/>
      <c r="TRP2" s="19"/>
      <c r="TRT2" s="19"/>
      <c r="TRX2" s="19"/>
      <c r="TSB2" s="19"/>
      <c r="TSF2" s="19"/>
      <c r="TSJ2" s="19"/>
      <c r="TSN2" s="19"/>
      <c r="TSR2" s="19"/>
      <c r="TSV2" s="19"/>
      <c r="TSZ2" s="19"/>
      <c r="TTD2" s="19"/>
      <c r="TTH2" s="19"/>
      <c r="TTL2" s="19"/>
      <c r="TTP2" s="19"/>
      <c r="TTT2" s="19"/>
      <c r="TTX2" s="19"/>
      <c r="TUB2" s="19"/>
      <c r="TUF2" s="19"/>
      <c r="TUJ2" s="19"/>
      <c r="TUN2" s="19"/>
      <c r="TUR2" s="19"/>
      <c r="TUV2" s="19"/>
      <c r="TUZ2" s="19"/>
      <c r="TVD2" s="19"/>
      <c r="TVH2" s="19"/>
      <c r="TVL2" s="19"/>
      <c r="TVP2" s="19"/>
      <c r="TVT2" s="19"/>
      <c r="TVX2" s="19"/>
      <c r="TWB2" s="19"/>
      <c r="TWF2" s="19"/>
      <c r="TWJ2" s="19"/>
      <c r="TWN2" s="19"/>
      <c r="TWR2" s="19"/>
      <c r="TWV2" s="19"/>
      <c r="TWZ2" s="19"/>
      <c r="TXD2" s="19"/>
      <c r="TXH2" s="19"/>
      <c r="TXL2" s="19"/>
      <c r="TXP2" s="19"/>
      <c r="TXT2" s="19"/>
      <c r="TXX2" s="19"/>
      <c r="TYB2" s="19"/>
      <c r="TYF2" s="19"/>
      <c r="TYJ2" s="19"/>
      <c r="TYN2" s="19"/>
      <c r="TYR2" s="19"/>
      <c r="TYV2" s="19"/>
      <c r="TYZ2" s="19"/>
      <c r="TZD2" s="19"/>
      <c r="TZH2" s="19"/>
      <c r="TZL2" s="19"/>
      <c r="TZP2" s="19"/>
      <c r="TZT2" s="19"/>
      <c r="TZX2" s="19"/>
      <c r="UAB2" s="19"/>
      <c r="UAF2" s="19"/>
      <c r="UAJ2" s="19"/>
      <c r="UAN2" s="19"/>
      <c r="UAR2" s="19"/>
      <c r="UAV2" s="19"/>
      <c r="UAZ2" s="19"/>
      <c r="UBD2" s="19"/>
      <c r="UBH2" s="19"/>
      <c r="UBL2" s="19"/>
      <c r="UBP2" s="19"/>
      <c r="UBT2" s="19"/>
      <c r="UBX2" s="19"/>
      <c r="UCB2" s="19"/>
      <c r="UCF2" s="19"/>
      <c r="UCJ2" s="19"/>
      <c r="UCN2" s="19"/>
      <c r="UCR2" s="19"/>
      <c r="UCV2" s="19"/>
      <c r="UCZ2" s="19"/>
      <c r="UDD2" s="19"/>
      <c r="UDH2" s="19"/>
      <c r="UDL2" s="19"/>
      <c r="UDP2" s="19"/>
      <c r="UDT2" s="19"/>
      <c r="UDX2" s="19"/>
      <c r="UEB2" s="19"/>
      <c r="UEF2" s="19"/>
      <c r="UEJ2" s="19"/>
      <c r="UEN2" s="19"/>
      <c r="UER2" s="19"/>
      <c r="UEV2" s="19"/>
      <c r="UEZ2" s="19"/>
      <c r="UFD2" s="19"/>
      <c r="UFH2" s="19"/>
      <c r="UFL2" s="19"/>
      <c r="UFP2" s="19"/>
      <c r="UFT2" s="19"/>
      <c r="UFX2" s="19"/>
      <c r="UGB2" s="19"/>
      <c r="UGF2" s="19"/>
      <c r="UGJ2" s="19"/>
      <c r="UGN2" s="19"/>
      <c r="UGR2" s="19"/>
      <c r="UGV2" s="19"/>
      <c r="UGZ2" s="19"/>
      <c r="UHD2" s="19"/>
      <c r="UHH2" s="19"/>
      <c r="UHL2" s="19"/>
      <c r="UHP2" s="19"/>
      <c r="UHT2" s="19"/>
      <c r="UHX2" s="19"/>
      <c r="UIB2" s="19"/>
      <c r="UIF2" s="19"/>
      <c r="UIJ2" s="19"/>
      <c r="UIN2" s="19"/>
      <c r="UIR2" s="19"/>
      <c r="UIV2" s="19"/>
      <c r="UIZ2" s="19"/>
      <c r="UJD2" s="19"/>
      <c r="UJH2" s="19"/>
      <c r="UJL2" s="19"/>
      <c r="UJP2" s="19"/>
      <c r="UJT2" s="19"/>
      <c r="UJX2" s="19"/>
      <c r="UKB2" s="19"/>
      <c r="UKF2" s="19"/>
      <c r="UKJ2" s="19"/>
      <c r="UKN2" s="19"/>
      <c r="UKR2" s="19"/>
      <c r="UKV2" s="19"/>
      <c r="UKZ2" s="19"/>
      <c r="ULD2" s="19"/>
      <c r="ULH2" s="19"/>
      <c r="ULL2" s="19"/>
      <c r="ULP2" s="19"/>
      <c r="ULT2" s="19"/>
      <c r="ULX2" s="19"/>
      <c r="UMB2" s="19"/>
      <c r="UMF2" s="19"/>
      <c r="UMJ2" s="19"/>
      <c r="UMN2" s="19"/>
      <c r="UMR2" s="19"/>
      <c r="UMV2" s="19"/>
      <c r="UMZ2" s="19"/>
      <c r="UND2" s="19"/>
      <c r="UNH2" s="19"/>
      <c r="UNL2" s="19"/>
      <c r="UNP2" s="19"/>
      <c r="UNT2" s="19"/>
      <c r="UNX2" s="19"/>
      <c r="UOB2" s="19"/>
      <c r="UOF2" s="19"/>
      <c r="UOJ2" s="19"/>
      <c r="UON2" s="19"/>
      <c r="UOR2" s="19"/>
      <c r="UOV2" s="19"/>
      <c r="UOZ2" s="19"/>
      <c r="UPD2" s="19"/>
      <c r="UPH2" s="19"/>
      <c r="UPL2" s="19"/>
      <c r="UPP2" s="19"/>
      <c r="UPT2" s="19"/>
      <c r="UPX2" s="19"/>
      <c r="UQB2" s="19"/>
      <c r="UQF2" s="19"/>
      <c r="UQJ2" s="19"/>
      <c r="UQN2" s="19"/>
      <c r="UQR2" s="19"/>
      <c r="UQV2" s="19"/>
      <c r="UQZ2" s="19"/>
      <c r="URD2" s="19"/>
      <c r="URH2" s="19"/>
      <c r="URL2" s="19"/>
      <c r="URP2" s="19"/>
      <c r="URT2" s="19"/>
      <c r="URX2" s="19"/>
      <c r="USB2" s="19"/>
      <c r="USF2" s="19"/>
      <c r="USJ2" s="19"/>
      <c r="USN2" s="19"/>
      <c r="USR2" s="19"/>
      <c r="USV2" s="19"/>
      <c r="USZ2" s="19"/>
      <c r="UTD2" s="19"/>
      <c r="UTH2" s="19"/>
      <c r="UTL2" s="19"/>
      <c r="UTP2" s="19"/>
      <c r="UTT2" s="19"/>
      <c r="UTX2" s="19"/>
      <c r="UUB2" s="19"/>
      <c r="UUF2" s="19"/>
      <c r="UUJ2" s="19"/>
      <c r="UUN2" s="19"/>
      <c r="UUR2" s="19"/>
      <c r="UUV2" s="19"/>
      <c r="UUZ2" s="19"/>
      <c r="UVD2" s="19"/>
      <c r="UVH2" s="19"/>
      <c r="UVL2" s="19"/>
      <c r="UVP2" s="19"/>
      <c r="UVT2" s="19"/>
      <c r="UVX2" s="19"/>
      <c r="UWB2" s="19"/>
      <c r="UWF2" s="19"/>
      <c r="UWJ2" s="19"/>
      <c r="UWN2" s="19"/>
      <c r="UWR2" s="19"/>
      <c r="UWV2" s="19"/>
      <c r="UWZ2" s="19"/>
      <c r="UXD2" s="19"/>
      <c r="UXH2" s="19"/>
      <c r="UXL2" s="19"/>
      <c r="UXP2" s="19"/>
      <c r="UXT2" s="19"/>
      <c r="UXX2" s="19"/>
      <c r="UYB2" s="19"/>
      <c r="UYF2" s="19"/>
      <c r="UYJ2" s="19"/>
      <c r="UYN2" s="19"/>
      <c r="UYR2" s="19"/>
      <c r="UYV2" s="19"/>
      <c r="UYZ2" s="19"/>
      <c r="UZD2" s="19"/>
      <c r="UZH2" s="19"/>
      <c r="UZL2" s="19"/>
      <c r="UZP2" s="19"/>
      <c r="UZT2" s="19"/>
      <c r="UZX2" s="19"/>
      <c r="VAB2" s="19"/>
      <c r="VAF2" s="19"/>
      <c r="VAJ2" s="19"/>
      <c r="VAN2" s="19"/>
      <c r="VAR2" s="19"/>
      <c r="VAV2" s="19"/>
      <c r="VAZ2" s="19"/>
      <c r="VBD2" s="19"/>
      <c r="VBH2" s="19"/>
      <c r="VBL2" s="19"/>
      <c r="VBP2" s="19"/>
      <c r="VBT2" s="19"/>
      <c r="VBX2" s="19"/>
      <c r="VCB2" s="19"/>
      <c r="VCF2" s="19"/>
      <c r="VCJ2" s="19"/>
      <c r="VCN2" s="19"/>
      <c r="VCR2" s="19"/>
      <c r="VCV2" s="19"/>
      <c r="VCZ2" s="19"/>
      <c r="VDD2" s="19"/>
      <c r="VDH2" s="19"/>
      <c r="VDL2" s="19"/>
      <c r="VDP2" s="19"/>
      <c r="VDT2" s="19"/>
      <c r="VDX2" s="19"/>
      <c r="VEB2" s="19"/>
      <c r="VEF2" s="19"/>
      <c r="VEJ2" s="19"/>
      <c r="VEN2" s="19"/>
      <c r="VER2" s="19"/>
      <c r="VEV2" s="19"/>
      <c r="VEZ2" s="19"/>
      <c r="VFD2" s="19"/>
      <c r="VFH2" s="19"/>
      <c r="VFL2" s="19"/>
      <c r="VFP2" s="19"/>
      <c r="VFT2" s="19"/>
      <c r="VFX2" s="19"/>
      <c r="VGB2" s="19"/>
      <c r="VGF2" s="19"/>
      <c r="VGJ2" s="19"/>
      <c r="VGN2" s="19"/>
      <c r="VGR2" s="19"/>
      <c r="VGV2" s="19"/>
      <c r="VGZ2" s="19"/>
      <c r="VHD2" s="19"/>
      <c r="VHH2" s="19"/>
      <c r="VHL2" s="19"/>
      <c r="VHP2" s="19"/>
      <c r="VHT2" s="19"/>
      <c r="VHX2" s="19"/>
      <c r="VIB2" s="19"/>
      <c r="VIF2" s="19"/>
      <c r="VIJ2" s="19"/>
      <c r="VIN2" s="19"/>
      <c r="VIR2" s="19"/>
      <c r="VIV2" s="19"/>
      <c r="VIZ2" s="19"/>
      <c r="VJD2" s="19"/>
      <c r="VJH2" s="19"/>
      <c r="VJL2" s="19"/>
      <c r="VJP2" s="19"/>
      <c r="VJT2" s="19"/>
      <c r="VJX2" s="19"/>
      <c r="VKB2" s="19"/>
      <c r="VKF2" s="19"/>
      <c r="VKJ2" s="19"/>
      <c r="VKN2" s="19"/>
      <c r="VKR2" s="19"/>
      <c r="VKV2" s="19"/>
      <c r="VKZ2" s="19"/>
      <c r="VLD2" s="19"/>
      <c r="VLH2" s="19"/>
      <c r="VLL2" s="19"/>
      <c r="VLP2" s="19"/>
      <c r="VLT2" s="19"/>
      <c r="VLX2" s="19"/>
      <c r="VMB2" s="19"/>
      <c r="VMF2" s="19"/>
      <c r="VMJ2" s="19"/>
      <c r="VMN2" s="19"/>
      <c r="VMR2" s="19"/>
      <c r="VMV2" s="19"/>
      <c r="VMZ2" s="19"/>
      <c r="VND2" s="19"/>
      <c r="VNH2" s="19"/>
      <c r="VNL2" s="19"/>
      <c r="VNP2" s="19"/>
      <c r="VNT2" s="19"/>
      <c r="VNX2" s="19"/>
      <c r="VOB2" s="19"/>
      <c r="VOF2" s="19"/>
      <c r="VOJ2" s="19"/>
      <c r="VON2" s="19"/>
      <c r="VOR2" s="19"/>
      <c r="VOV2" s="19"/>
      <c r="VOZ2" s="19"/>
      <c r="VPD2" s="19"/>
      <c r="VPH2" s="19"/>
      <c r="VPL2" s="19"/>
      <c r="VPP2" s="19"/>
      <c r="VPT2" s="19"/>
      <c r="VPX2" s="19"/>
      <c r="VQB2" s="19"/>
      <c r="VQF2" s="19"/>
      <c r="VQJ2" s="19"/>
      <c r="VQN2" s="19"/>
      <c r="VQR2" s="19"/>
      <c r="VQV2" s="19"/>
      <c r="VQZ2" s="19"/>
      <c r="VRD2" s="19"/>
      <c r="VRH2" s="19"/>
      <c r="VRL2" s="19"/>
      <c r="VRP2" s="19"/>
      <c r="VRT2" s="19"/>
      <c r="VRX2" s="19"/>
      <c r="VSB2" s="19"/>
      <c r="VSF2" s="19"/>
      <c r="VSJ2" s="19"/>
      <c r="VSN2" s="19"/>
      <c r="VSR2" s="19"/>
      <c r="VSV2" s="19"/>
      <c r="VSZ2" s="19"/>
      <c r="VTD2" s="19"/>
      <c r="VTH2" s="19"/>
      <c r="VTL2" s="19"/>
      <c r="VTP2" s="19"/>
      <c r="VTT2" s="19"/>
      <c r="VTX2" s="19"/>
      <c r="VUB2" s="19"/>
      <c r="VUF2" s="19"/>
      <c r="VUJ2" s="19"/>
      <c r="VUN2" s="19"/>
      <c r="VUR2" s="19"/>
      <c r="VUV2" s="19"/>
      <c r="VUZ2" s="19"/>
      <c r="VVD2" s="19"/>
      <c r="VVH2" s="19"/>
      <c r="VVL2" s="19"/>
      <c r="VVP2" s="19"/>
      <c r="VVT2" s="19"/>
      <c r="VVX2" s="19"/>
      <c r="VWB2" s="19"/>
      <c r="VWF2" s="19"/>
      <c r="VWJ2" s="19"/>
      <c r="VWN2" s="19"/>
      <c r="VWR2" s="19"/>
      <c r="VWV2" s="19"/>
      <c r="VWZ2" s="19"/>
      <c r="VXD2" s="19"/>
      <c r="VXH2" s="19"/>
      <c r="VXL2" s="19"/>
      <c r="VXP2" s="19"/>
      <c r="VXT2" s="19"/>
      <c r="VXX2" s="19"/>
      <c r="VYB2" s="19"/>
      <c r="VYF2" s="19"/>
      <c r="VYJ2" s="19"/>
      <c r="VYN2" s="19"/>
      <c r="VYR2" s="19"/>
      <c r="VYV2" s="19"/>
      <c r="VYZ2" s="19"/>
      <c r="VZD2" s="19"/>
      <c r="VZH2" s="19"/>
      <c r="VZL2" s="19"/>
      <c r="VZP2" s="19"/>
      <c r="VZT2" s="19"/>
      <c r="VZX2" s="19"/>
      <c r="WAB2" s="19"/>
      <c r="WAF2" s="19"/>
      <c r="WAJ2" s="19"/>
      <c r="WAN2" s="19"/>
      <c r="WAR2" s="19"/>
      <c r="WAV2" s="19"/>
      <c r="WAZ2" s="19"/>
      <c r="WBD2" s="19"/>
      <c r="WBH2" s="19"/>
      <c r="WBL2" s="19"/>
      <c r="WBP2" s="19"/>
      <c r="WBT2" s="19"/>
      <c r="WBX2" s="19"/>
      <c r="WCB2" s="19"/>
      <c r="WCF2" s="19"/>
      <c r="WCJ2" s="19"/>
      <c r="WCN2" s="19"/>
      <c r="WCR2" s="19"/>
      <c r="WCV2" s="19"/>
      <c r="WCZ2" s="19"/>
      <c r="WDD2" s="19"/>
      <c r="WDH2" s="19"/>
      <c r="WDL2" s="19"/>
      <c r="WDP2" s="19"/>
      <c r="WDT2" s="19"/>
      <c r="WDX2" s="19"/>
      <c r="WEB2" s="19"/>
      <c r="WEF2" s="19"/>
      <c r="WEJ2" s="19"/>
      <c r="WEN2" s="19"/>
      <c r="WER2" s="19"/>
      <c r="WEV2" s="19"/>
      <c r="WEZ2" s="19"/>
      <c r="WFD2" s="19"/>
      <c r="WFH2" s="19"/>
      <c r="WFL2" s="19"/>
      <c r="WFP2" s="19"/>
      <c r="WFT2" s="19"/>
      <c r="WFX2" s="19"/>
      <c r="WGB2" s="19"/>
      <c r="WGF2" s="19"/>
      <c r="WGJ2" s="19"/>
      <c r="WGN2" s="19"/>
      <c r="WGR2" s="19"/>
      <c r="WGV2" s="19"/>
      <c r="WGZ2" s="19"/>
      <c r="WHD2" s="19"/>
      <c r="WHH2" s="19"/>
      <c r="WHL2" s="19"/>
      <c r="WHP2" s="19"/>
      <c r="WHT2" s="19"/>
      <c r="WHX2" s="19"/>
      <c r="WIB2" s="19"/>
      <c r="WIF2" s="19"/>
      <c r="WIJ2" s="19"/>
      <c r="WIN2" s="19"/>
      <c r="WIR2" s="19"/>
      <c r="WIV2" s="19"/>
      <c r="WIZ2" s="19"/>
      <c r="WJD2" s="19"/>
      <c r="WJH2" s="19"/>
      <c r="WJL2" s="19"/>
      <c r="WJP2" s="19"/>
      <c r="WJT2" s="19"/>
      <c r="WJX2" s="19"/>
      <c r="WKB2" s="19"/>
      <c r="WKF2" s="19"/>
      <c r="WKJ2" s="19"/>
      <c r="WKN2" s="19"/>
      <c r="WKR2" s="19"/>
      <c r="WKV2" s="19"/>
      <c r="WKZ2" s="19"/>
      <c r="WLD2" s="19"/>
      <c r="WLH2" s="19"/>
      <c r="WLL2" s="19"/>
      <c r="WLP2" s="19"/>
      <c r="WLT2" s="19"/>
      <c r="WLX2" s="19"/>
      <c r="WMB2" s="19"/>
      <c r="WMF2" s="19"/>
      <c r="WMJ2" s="19"/>
      <c r="WMN2" s="19"/>
      <c r="WMR2" s="19"/>
      <c r="WMV2" s="19"/>
      <c r="WMZ2" s="19"/>
      <c r="WND2" s="19"/>
      <c r="WNH2" s="19"/>
      <c r="WNL2" s="19"/>
      <c r="WNP2" s="19"/>
      <c r="WNT2" s="19"/>
      <c r="WNX2" s="19"/>
      <c r="WOB2" s="19"/>
      <c r="WOF2" s="19"/>
      <c r="WOJ2" s="19"/>
      <c r="WON2" s="19"/>
      <c r="WOR2" s="19"/>
      <c r="WOV2" s="19"/>
      <c r="WOZ2" s="19"/>
      <c r="WPD2" s="19"/>
      <c r="WPH2" s="19"/>
      <c r="WPL2" s="19"/>
      <c r="WPP2" s="19"/>
      <c r="WPT2" s="19"/>
      <c r="WPX2" s="19"/>
      <c r="WQB2" s="19"/>
      <c r="WQF2" s="19"/>
      <c r="WQJ2" s="19"/>
      <c r="WQN2" s="19"/>
      <c r="WQR2" s="19"/>
      <c r="WQV2" s="19"/>
      <c r="WQZ2" s="19"/>
      <c r="WRD2" s="19"/>
      <c r="WRH2" s="19"/>
      <c r="WRL2" s="19"/>
      <c r="WRP2" s="19"/>
      <c r="WRT2" s="19"/>
      <c r="WRX2" s="19"/>
      <c r="WSB2" s="19"/>
      <c r="WSF2" s="19"/>
      <c r="WSJ2" s="19"/>
      <c r="WSN2" s="19"/>
      <c r="WSR2" s="19"/>
      <c r="WSV2" s="19"/>
      <c r="WSZ2" s="19"/>
      <c r="WTD2" s="19"/>
      <c r="WTH2" s="19"/>
      <c r="WTL2" s="19"/>
      <c r="WTP2" s="19"/>
      <c r="WTT2" s="19"/>
      <c r="WTX2" s="19"/>
      <c r="WUB2" s="19"/>
      <c r="WUF2" s="19"/>
      <c r="WUJ2" s="19"/>
      <c r="WUN2" s="19"/>
      <c r="WUR2" s="19"/>
      <c r="WUV2" s="19"/>
      <c r="WUZ2" s="19"/>
      <c r="WVD2" s="19"/>
      <c r="WVH2" s="19"/>
      <c r="WVL2" s="19"/>
      <c r="WVP2" s="19"/>
      <c r="WVT2" s="19"/>
      <c r="WVX2" s="19"/>
      <c r="WWB2" s="19"/>
      <c r="WWF2" s="19"/>
      <c r="WWJ2" s="19"/>
      <c r="WWN2" s="19"/>
      <c r="WWR2" s="19"/>
      <c r="WWV2" s="19"/>
      <c r="WWZ2" s="19"/>
      <c r="WXD2" s="19"/>
      <c r="WXH2" s="19"/>
      <c r="WXL2" s="19"/>
      <c r="WXP2" s="19"/>
      <c r="WXT2" s="19"/>
      <c r="WXX2" s="19"/>
      <c r="WYB2" s="19"/>
      <c r="WYF2" s="19"/>
      <c r="WYJ2" s="19"/>
      <c r="WYN2" s="19"/>
      <c r="WYR2" s="19"/>
      <c r="WYV2" s="19"/>
      <c r="WYZ2" s="19"/>
      <c r="WZD2" s="19"/>
      <c r="WZH2" s="19"/>
      <c r="WZL2" s="19"/>
      <c r="WZP2" s="19"/>
      <c r="WZT2" s="19"/>
      <c r="WZX2" s="19"/>
      <c r="XAB2" s="19"/>
      <c r="XAF2" s="19"/>
      <c r="XAJ2" s="19"/>
      <c r="XAN2" s="19"/>
      <c r="XAR2" s="19"/>
      <c r="XAV2" s="19"/>
      <c r="XAZ2" s="19"/>
      <c r="XBD2" s="19"/>
      <c r="XBH2" s="19"/>
      <c r="XBL2" s="19"/>
      <c r="XBP2" s="19"/>
      <c r="XBT2" s="19"/>
      <c r="XBX2" s="19"/>
      <c r="XCB2" s="19"/>
      <c r="XCF2" s="19"/>
      <c r="XCJ2" s="19"/>
      <c r="XCN2" s="19"/>
      <c r="XCR2" s="19"/>
      <c r="XCV2" s="19"/>
      <c r="XCZ2" s="19"/>
      <c r="XDD2" s="19"/>
      <c r="XDH2" s="19"/>
      <c r="XDL2" s="19"/>
      <c r="XDP2" s="19"/>
      <c r="XDT2" s="19"/>
      <c r="XDX2" s="19"/>
      <c r="XEB2" s="19"/>
      <c r="XEF2" s="19"/>
      <c r="XEJ2" s="19"/>
      <c r="XEN2" s="19"/>
      <c r="XER2" s="19"/>
      <c r="XEV2" s="19"/>
      <c r="XEZ2" s="19"/>
      <c r="XFD2" s="19"/>
    </row>
    <row r="3" spans="5:16384" ht="15.75">
      <c r="E3" s="19" t="s">
        <v>612</v>
      </c>
      <c r="H3" s="19"/>
      <c r="L3" s="19"/>
      <c r="P3" s="19"/>
      <c r="T3" s="19"/>
      <c r="X3" s="19"/>
      <c r="AB3" s="19"/>
      <c r="AF3" s="19"/>
      <c r="AJ3" s="19"/>
      <c r="AN3" s="19"/>
      <c r="AR3" s="19"/>
      <c r="AV3" s="19"/>
      <c r="AZ3" s="19"/>
      <c r="BD3" s="19"/>
      <c r="BH3" s="19"/>
      <c r="BL3" s="19"/>
      <c r="BP3" s="19"/>
      <c r="BT3" s="19"/>
      <c r="BX3" s="19"/>
      <c r="CB3" s="19"/>
      <c r="CF3" s="19"/>
      <c r="CJ3" s="19"/>
      <c r="CN3" s="19"/>
      <c r="CR3" s="19"/>
      <c r="CV3" s="19"/>
      <c r="CZ3" s="19"/>
      <c r="DD3" s="19"/>
      <c r="DH3" s="19"/>
      <c r="DL3" s="19"/>
      <c r="DP3" s="19"/>
      <c r="DT3" s="19"/>
      <c r="DX3" s="19"/>
      <c r="EB3" s="19"/>
      <c r="EF3" s="19"/>
      <c r="EJ3" s="19"/>
      <c r="EN3" s="19"/>
      <c r="ER3" s="19"/>
      <c r="EV3" s="19"/>
      <c r="EZ3" s="19"/>
      <c r="FD3" s="19"/>
      <c r="FH3" s="19"/>
      <c r="FL3" s="19"/>
      <c r="FP3" s="19"/>
      <c r="FT3" s="19"/>
      <c r="FX3" s="19"/>
      <c r="GB3" s="19"/>
      <c r="GF3" s="19"/>
      <c r="GJ3" s="19"/>
      <c r="GN3" s="19"/>
      <c r="GR3" s="19"/>
      <c r="GV3" s="19"/>
      <c r="GZ3" s="19"/>
      <c r="HD3" s="19"/>
      <c r="HH3" s="19"/>
      <c r="HL3" s="19"/>
      <c r="HP3" s="19"/>
      <c r="HT3" s="19"/>
      <c r="HX3" s="19"/>
      <c r="IB3" s="19"/>
      <c r="IF3" s="19"/>
      <c r="IJ3" s="19"/>
      <c r="IN3" s="19"/>
      <c r="IR3" s="19"/>
      <c r="IV3" s="19"/>
      <c r="IZ3" s="19"/>
      <c r="JD3" s="19"/>
      <c r="JH3" s="19"/>
      <c r="JL3" s="19"/>
      <c r="JP3" s="19"/>
      <c r="JT3" s="19"/>
      <c r="JX3" s="19"/>
      <c r="KB3" s="19"/>
      <c r="KF3" s="19"/>
      <c r="KJ3" s="19"/>
      <c r="KN3" s="19"/>
      <c r="KR3" s="19"/>
      <c r="KV3" s="19"/>
      <c r="KZ3" s="19"/>
      <c r="LD3" s="19"/>
      <c r="LH3" s="19"/>
      <c r="LL3" s="19"/>
      <c r="LP3" s="19"/>
      <c r="LT3" s="19"/>
      <c r="LX3" s="19"/>
      <c r="MB3" s="19"/>
      <c r="MF3" s="19"/>
      <c r="MJ3" s="19"/>
      <c r="MN3" s="19"/>
      <c r="MR3" s="19"/>
      <c r="MV3" s="19"/>
      <c r="MZ3" s="19"/>
      <c r="ND3" s="19"/>
      <c r="NH3" s="19"/>
      <c r="NL3" s="19"/>
      <c r="NP3" s="19"/>
      <c r="NT3" s="19"/>
      <c r="NX3" s="19"/>
      <c r="OB3" s="19"/>
      <c r="OF3" s="19"/>
      <c r="OJ3" s="19"/>
      <c r="ON3" s="19"/>
      <c r="OR3" s="19"/>
      <c r="OV3" s="19"/>
      <c r="OZ3" s="19"/>
      <c r="PD3" s="19"/>
      <c r="PH3" s="19"/>
      <c r="PL3" s="19"/>
      <c r="PP3" s="19"/>
      <c r="PT3" s="19"/>
      <c r="PX3" s="19"/>
      <c r="QB3" s="19"/>
      <c r="QF3" s="19"/>
      <c r="QJ3" s="19"/>
      <c r="QN3" s="19"/>
      <c r="QR3" s="19"/>
      <c r="QV3" s="19"/>
      <c r="QZ3" s="19"/>
      <c r="RD3" s="19"/>
      <c r="RH3" s="19"/>
      <c r="RL3" s="19"/>
      <c r="RP3" s="19"/>
      <c r="RT3" s="19"/>
      <c r="RX3" s="19"/>
      <c r="SB3" s="19"/>
      <c r="SF3" s="19"/>
      <c r="SJ3" s="19"/>
      <c r="SN3" s="19"/>
      <c r="SR3" s="19"/>
      <c r="SV3" s="19"/>
      <c r="SZ3" s="19"/>
      <c r="TD3" s="19"/>
      <c r="TH3" s="19"/>
      <c r="TL3" s="19"/>
      <c r="TP3" s="19"/>
      <c r="TT3" s="19"/>
      <c r="TX3" s="19"/>
      <c r="UB3" s="19"/>
      <c r="UF3" s="19"/>
      <c r="UJ3" s="19"/>
      <c r="UN3" s="19"/>
      <c r="UR3" s="19"/>
      <c r="UV3" s="19"/>
      <c r="UZ3" s="19"/>
      <c r="VD3" s="19"/>
      <c r="VH3" s="19"/>
      <c r="VL3" s="19"/>
      <c r="VP3" s="19"/>
      <c r="VT3" s="19"/>
      <c r="VX3" s="19"/>
      <c r="WB3" s="19"/>
      <c r="WF3" s="19"/>
      <c r="WJ3" s="19"/>
      <c r="WN3" s="19"/>
      <c r="WR3" s="19"/>
      <c r="WV3" s="19"/>
      <c r="WZ3" s="19"/>
      <c r="XD3" s="19"/>
      <c r="XH3" s="19"/>
      <c r="XL3" s="19"/>
      <c r="XP3" s="19"/>
      <c r="XT3" s="19"/>
      <c r="XX3" s="19"/>
      <c r="YB3" s="19"/>
      <c r="YF3" s="19"/>
      <c r="YJ3" s="19"/>
      <c r="YN3" s="19"/>
      <c r="YR3" s="19"/>
      <c r="YV3" s="19"/>
      <c r="YZ3" s="19"/>
      <c r="ZD3" s="19"/>
      <c r="ZH3" s="19"/>
      <c r="ZL3" s="19"/>
      <c r="ZP3" s="19"/>
      <c r="ZT3" s="19"/>
      <c r="ZX3" s="19"/>
      <c r="AAB3" s="19"/>
      <c r="AAF3" s="19"/>
      <c r="AAJ3" s="19"/>
      <c r="AAN3" s="19"/>
      <c r="AAR3" s="19"/>
      <c r="AAV3" s="19"/>
      <c r="AAZ3" s="19"/>
      <c r="ABD3" s="19"/>
      <c r="ABH3" s="19"/>
      <c r="ABL3" s="19"/>
      <c r="ABP3" s="19"/>
      <c r="ABT3" s="19"/>
      <c r="ABX3" s="19"/>
      <c r="ACB3" s="19"/>
      <c r="ACF3" s="19"/>
      <c r="ACJ3" s="19"/>
      <c r="ACN3" s="19"/>
      <c r="ACR3" s="19"/>
      <c r="ACV3" s="19"/>
      <c r="ACZ3" s="19"/>
      <c r="ADD3" s="19"/>
      <c r="ADH3" s="19"/>
      <c r="ADL3" s="19"/>
      <c r="ADP3" s="19"/>
      <c r="ADT3" s="19"/>
      <c r="ADX3" s="19"/>
      <c r="AEB3" s="19"/>
      <c r="AEF3" s="19"/>
      <c r="AEJ3" s="19"/>
      <c r="AEN3" s="19"/>
      <c r="AER3" s="19"/>
      <c r="AEV3" s="19"/>
      <c r="AEZ3" s="19"/>
      <c r="AFD3" s="19"/>
      <c r="AFH3" s="19"/>
      <c r="AFL3" s="19"/>
      <c r="AFP3" s="19"/>
      <c r="AFT3" s="19"/>
      <c r="AFX3" s="19"/>
      <c r="AGB3" s="19"/>
      <c r="AGF3" s="19"/>
      <c r="AGJ3" s="19"/>
      <c r="AGN3" s="19"/>
      <c r="AGR3" s="19"/>
      <c r="AGV3" s="19"/>
      <c r="AGZ3" s="19"/>
      <c r="AHD3" s="19"/>
      <c r="AHH3" s="19"/>
      <c r="AHL3" s="19"/>
      <c r="AHP3" s="19"/>
      <c r="AHT3" s="19"/>
      <c r="AHX3" s="19"/>
      <c r="AIB3" s="19"/>
      <c r="AIF3" s="19"/>
      <c r="AIJ3" s="19"/>
      <c r="AIN3" s="19"/>
      <c r="AIR3" s="19"/>
      <c r="AIV3" s="19"/>
      <c r="AIZ3" s="19"/>
      <c r="AJD3" s="19"/>
      <c r="AJH3" s="19"/>
      <c r="AJL3" s="19"/>
      <c r="AJP3" s="19"/>
      <c r="AJT3" s="19"/>
      <c r="AJX3" s="19"/>
      <c r="AKB3" s="19"/>
      <c r="AKF3" s="19"/>
      <c r="AKJ3" s="19"/>
      <c r="AKN3" s="19"/>
      <c r="AKR3" s="19"/>
      <c r="AKV3" s="19"/>
      <c r="AKZ3" s="19"/>
      <c r="ALD3" s="19"/>
      <c r="ALH3" s="19"/>
      <c r="ALL3" s="19"/>
      <c r="ALP3" s="19"/>
      <c r="ALT3" s="19"/>
      <c r="ALX3" s="19"/>
      <c r="AMB3" s="19"/>
      <c r="AMF3" s="19"/>
      <c r="AMJ3" s="19"/>
      <c r="AMN3" s="19"/>
      <c r="AMR3" s="19"/>
      <c r="AMV3" s="19"/>
      <c r="AMZ3" s="19"/>
      <c r="AND3" s="19"/>
      <c r="ANH3" s="19"/>
      <c r="ANL3" s="19"/>
      <c r="ANP3" s="19"/>
      <c r="ANT3" s="19"/>
      <c r="ANX3" s="19"/>
      <c r="AOB3" s="19"/>
      <c r="AOF3" s="19"/>
      <c r="AOJ3" s="19"/>
      <c r="AON3" s="19"/>
      <c r="AOR3" s="19"/>
      <c r="AOV3" s="19"/>
      <c r="AOZ3" s="19"/>
      <c r="APD3" s="19"/>
      <c r="APH3" s="19"/>
      <c r="APL3" s="19"/>
      <c r="APP3" s="19"/>
      <c r="APT3" s="19"/>
      <c r="APX3" s="19"/>
      <c r="AQB3" s="19"/>
      <c r="AQF3" s="19"/>
      <c r="AQJ3" s="19"/>
      <c r="AQN3" s="19"/>
      <c r="AQR3" s="19"/>
      <c r="AQV3" s="19"/>
      <c r="AQZ3" s="19"/>
      <c r="ARD3" s="19"/>
      <c r="ARH3" s="19"/>
      <c r="ARL3" s="19"/>
      <c r="ARP3" s="19"/>
      <c r="ART3" s="19"/>
      <c r="ARX3" s="19"/>
      <c r="ASB3" s="19"/>
      <c r="ASF3" s="19"/>
      <c r="ASJ3" s="19"/>
      <c r="ASN3" s="19"/>
      <c r="ASR3" s="19"/>
      <c r="ASV3" s="19"/>
      <c r="ASZ3" s="19"/>
      <c r="ATD3" s="19"/>
      <c r="ATH3" s="19"/>
      <c r="ATL3" s="19"/>
      <c r="ATP3" s="19"/>
      <c r="ATT3" s="19"/>
      <c r="ATX3" s="19"/>
      <c r="AUB3" s="19"/>
      <c r="AUF3" s="19"/>
      <c r="AUJ3" s="19"/>
      <c r="AUN3" s="19"/>
      <c r="AUR3" s="19"/>
      <c r="AUV3" s="19"/>
      <c r="AUZ3" s="19"/>
      <c r="AVD3" s="19"/>
      <c r="AVH3" s="19"/>
      <c r="AVL3" s="19"/>
      <c r="AVP3" s="19"/>
      <c r="AVT3" s="19"/>
      <c r="AVX3" s="19"/>
      <c r="AWB3" s="19"/>
      <c r="AWF3" s="19"/>
      <c r="AWJ3" s="19"/>
      <c r="AWN3" s="19"/>
      <c r="AWR3" s="19"/>
      <c r="AWV3" s="19"/>
      <c r="AWZ3" s="19"/>
      <c r="AXD3" s="19"/>
      <c r="AXH3" s="19"/>
      <c r="AXL3" s="19"/>
      <c r="AXP3" s="19"/>
      <c r="AXT3" s="19"/>
      <c r="AXX3" s="19"/>
      <c r="AYB3" s="19"/>
      <c r="AYF3" s="19"/>
      <c r="AYJ3" s="19"/>
      <c r="AYN3" s="19"/>
      <c r="AYR3" s="19"/>
      <c r="AYV3" s="19"/>
      <c r="AYZ3" s="19"/>
      <c r="AZD3" s="19"/>
      <c r="AZH3" s="19"/>
      <c r="AZL3" s="19"/>
      <c r="AZP3" s="19"/>
      <c r="AZT3" s="19"/>
      <c r="AZX3" s="19"/>
      <c r="BAB3" s="19"/>
      <c r="BAF3" s="19"/>
      <c r="BAJ3" s="19"/>
      <c r="BAN3" s="19"/>
      <c r="BAR3" s="19"/>
      <c r="BAV3" s="19"/>
      <c r="BAZ3" s="19"/>
      <c r="BBD3" s="19"/>
      <c r="BBH3" s="19"/>
      <c r="BBL3" s="19"/>
      <c r="BBP3" s="19"/>
      <c r="BBT3" s="19"/>
      <c r="BBX3" s="19"/>
      <c r="BCB3" s="19"/>
      <c r="BCF3" s="19"/>
      <c r="BCJ3" s="19"/>
      <c r="BCN3" s="19"/>
      <c r="BCR3" s="19"/>
      <c r="BCV3" s="19"/>
      <c r="BCZ3" s="19"/>
      <c r="BDD3" s="19"/>
      <c r="BDH3" s="19"/>
      <c r="BDL3" s="19"/>
      <c r="BDP3" s="19"/>
      <c r="BDT3" s="19"/>
      <c r="BDX3" s="19"/>
      <c r="BEB3" s="19"/>
      <c r="BEF3" s="19"/>
      <c r="BEJ3" s="19"/>
      <c r="BEN3" s="19"/>
      <c r="BER3" s="19"/>
      <c r="BEV3" s="19"/>
      <c r="BEZ3" s="19"/>
      <c r="BFD3" s="19"/>
      <c r="BFH3" s="19"/>
      <c r="BFL3" s="19"/>
      <c r="BFP3" s="19"/>
      <c r="BFT3" s="19"/>
      <c r="BFX3" s="19"/>
      <c r="BGB3" s="19"/>
      <c r="BGF3" s="19"/>
      <c r="BGJ3" s="19"/>
      <c r="BGN3" s="19"/>
      <c r="BGR3" s="19"/>
      <c r="BGV3" s="19"/>
      <c r="BGZ3" s="19"/>
      <c r="BHD3" s="19"/>
      <c r="BHH3" s="19"/>
      <c r="BHL3" s="19"/>
      <c r="BHP3" s="19"/>
      <c r="BHT3" s="19"/>
      <c r="BHX3" s="19"/>
      <c r="BIB3" s="19"/>
      <c r="BIF3" s="19"/>
      <c r="BIJ3" s="19"/>
      <c r="BIN3" s="19"/>
      <c r="BIR3" s="19"/>
      <c r="BIV3" s="19"/>
      <c r="BIZ3" s="19"/>
      <c r="BJD3" s="19"/>
      <c r="BJH3" s="19"/>
      <c r="BJL3" s="19"/>
      <c r="BJP3" s="19"/>
      <c r="BJT3" s="19"/>
      <c r="BJX3" s="19"/>
      <c r="BKB3" s="19"/>
      <c r="BKF3" s="19"/>
      <c r="BKJ3" s="19"/>
      <c r="BKN3" s="19"/>
      <c r="BKR3" s="19"/>
      <c r="BKV3" s="19"/>
      <c r="BKZ3" s="19"/>
      <c r="BLD3" s="19"/>
      <c r="BLH3" s="19"/>
      <c r="BLL3" s="19"/>
      <c r="BLP3" s="19"/>
      <c r="BLT3" s="19"/>
      <c r="BLX3" s="19"/>
      <c r="BMB3" s="19"/>
      <c r="BMF3" s="19"/>
      <c r="BMJ3" s="19"/>
      <c r="BMN3" s="19"/>
      <c r="BMR3" s="19"/>
      <c r="BMV3" s="19"/>
      <c r="BMZ3" s="19"/>
      <c r="BND3" s="19"/>
      <c r="BNH3" s="19"/>
      <c r="BNL3" s="19"/>
      <c r="BNP3" s="19"/>
      <c r="BNT3" s="19"/>
      <c r="BNX3" s="19"/>
      <c r="BOB3" s="19"/>
      <c r="BOF3" s="19"/>
      <c r="BOJ3" s="19"/>
      <c r="BON3" s="19"/>
      <c r="BOR3" s="19"/>
      <c r="BOV3" s="19"/>
      <c r="BOZ3" s="19"/>
      <c r="BPD3" s="19"/>
      <c r="BPH3" s="19"/>
      <c r="BPL3" s="19"/>
      <c r="BPP3" s="19"/>
      <c r="BPT3" s="19"/>
      <c r="BPX3" s="19"/>
      <c r="BQB3" s="19"/>
      <c r="BQF3" s="19"/>
      <c r="BQJ3" s="19"/>
      <c r="BQN3" s="19"/>
      <c r="BQR3" s="19"/>
      <c r="BQV3" s="19"/>
      <c r="BQZ3" s="19"/>
      <c r="BRD3" s="19"/>
      <c r="BRH3" s="19"/>
      <c r="BRL3" s="19"/>
      <c r="BRP3" s="19"/>
      <c r="BRT3" s="19"/>
      <c r="BRX3" s="19"/>
      <c r="BSB3" s="19"/>
      <c r="BSF3" s="19"/>
      <c r="BSJ3" s="19"/>
      <c r="BSN3" s="19"/>
      <c r="BSR3" s="19"/>
      <c r="BSV3" s="19"/>
      <c r="BSZ3" s="19"/>
      <c r="BTD3" s="19"/>
      <c r="BTH3" s="19"/>
      <c r="BTL3" s="19"/>
      <c r="BTP3" s="19"/>
      <c r="BTT3" s="19"/>
      <c r="BTX3" s="19"/>
      <c r="BUB3" s="19"/>
      <c r="BUF3" s="19"/>
      <c r="BUJ3" s="19"/>
      <c r="BUN3" s="19"/>
      <c r="BUR3" s="19"/>
      <c r="BUV3" s="19"/>
      <c r="BUZ3" s="19"/>
      <c r="BVD3" s="19"/>
      <c r="BVH3" s="19"/>
      <c r="BVL3" s="19"/>
      <c r="BVP3" s="19"/>
      <c r="BVT3" s="19"/>
      <c r="BVX3" s="19"/>
      <c r="BWB3" s="19"/>
      <c r="BWF3" s="19"/>
      <c r="BWJ3" s="19"/>
      <c r="BWN3" s="19"/>
      <c r="BWR3" s="19"/>
      <c r="BWV3" s="19"/>
      <c r="BWZ3" s="19"/>
      <c r="BXD3" s="19"/>
      <c r="BXH3" s="19"/>
      <c r="BXL3" s="19"/>
      <c r="BXP3" s="19"/>
      <c r="BXT3" s="19"/>
      <c r="BXX3" s="19"/>
      <c r="BYB3" s="19"/>
      <c r="BYF3" s="19"/>
      <c r="BYJ3" s="19"/>
      <c r="BYN3" s="19"/>
      <c r="BYR3" s="19"/>
      <c r="BYV3" s="19"/>
      <c r="BYZ3" s="19"/>
      <c r="BZD3" s="19"/>
      <c r="BZH3" s="19"/>
      <c r="BZL3" s="19"/>
      <c r="BZP3" s="19"/>
      <c r="BZT3" s="19"/>
      <c r="BZX3" s="19"/>
      <c r="CAB3" s="19"/>
      <c r="CAF3" s="19"/>
      <c r="CAJ3" s="19"/>
      <c r="CAN3" s="19"/>
      <c r="CAR3" s="19"/>
      <c r="CAV3" s="19"/>
      <c r="CAZ3" s="19"/>
      <c r="CBD3" s="19"/>
      <c r="CBH3" s="19"/>
      <c r="CBL3" s="19"/>
      <c r="CBP3" s="19"/>
      <c r="CBT3" s="19"/>
      <c r="CBX3" s="19"/>
      <c r="CCB3" s="19"/>
      <c r="CCF3" s="19"/>
      <c r="CCJ3" s="19"/>
      <c r="CCN3" s="19"/>
      <c r="CCR3" s="19"/>
      <c r="CCV3" s="19"/>
      <c r="CCZ3" s="19"/>
      <c r="CDD3" s="19"/>
      <c r="CDH3" s="19"/>
      <c r="CDL3" s="19"/>
      <c r="CDP3" s="19"/>
      <c r="CDT3" s="19"/>
      <c r="CDX3" s="19"/>
      <c r="CEB3" s="19"/>
      <c r="CEF3" s="19"/>
      <c r="CEJ3" s="19"/>
      <c r="CEN3" s="19"/>
      <c r="CER3" s="19"/>
      <c r="CEV3" s="19"/>
      <c r="CEZ3" s="19"/>
      <c r="CFD3" s="19"/>
      <c r="CFH3" s="19"/>
      <c r="CFL3" s="19"/>
      <c r="CFP3" s="19"/>
      <c r="CFT3" s="19"/>
      <c r="CFX3" s="19"/>
      <c r="CGB3" s="19"/>
      <c r="CGF3" s="19"/>
      <c r="CGJ3" s="19"/>
      <c r="CGN3" s="19"/>
      <c r="CGR3" s="19"/>
      <c r="CGV3" s="19"/>
      <c r="CGZ3" s="19"/>
      <c r="CHD3" s="19"/>
      <c r="CHH3" s="19"/>
      <c r="CHL3" s="19"/>
      <c r="CHP3" s="19"/>
      <c r="CHT3" s="19"/>
      <c r="CHX3" s="19"/>
      <c r="CIB3" s="19"/>
      <c r="CIF3" s="19"/>
      <c r="CIJ3" s="19"/>
      <c r="CIN3" s="19"/>
      <c r="CIR3" s="19"/>
      <c r="CIV3" s="19"/>
      <c r="CIZ3" s="19"/>
      <c r="CJD3" s="19"/>
      <c r="CJH3" s="19"/>
      <c r="CJL3" s="19"/>
      <c r="CJP3" s="19"/>
      <c r="CJT3" s="19"/>
      <c r="CJX3" s="19"/>
      <c r="CKB3" s="19"/>
      <c r="CKF3" s="19"/>
      <c r="CKJ3" s="19"/>
      <c r="CKN3" s="19"/>
      <c r="CKR3" s="19"/>
      <c r="CKV3" s="19"/>
      <c r="CKZ3" s="19"/>
      <c r="CLD3" s="19"/>
      <c r="CLH3" s="19"/>
      <c r="CLL3" s="19"/>
      <c r="CLP3" s="19"/>
      <c r="CLT3" s="19"/>
      <c r="CLX3" s="19"/>
      <c r="CMB3" s="19"/>
      <c r="CMF3" s="19"/>
      <c r="CMJ3" s="19"/>
      <c r="CMN3" s="19"/>
      <c r="CMR3" s="19"/>
      <c r="CMV3" s="19"/>
      <c r="CMZ3" s="19"/>
      <c r="CND3" s="19"/>
      <c r="CNH3" s="19"/>
      <c r="CNL3" s="19"/>
      <c r="CNP3" s="19"/>
      <c r="CNT3" s="19"/>
      <c r="CNX3" s="19"/>
      <c r="COB3" s="19"/>
      <c r="COF3" s="19"/>
      <c r="COJ3" s="19"/>
      <c r="CON3" s="19"/>
      <c r="COR3" s="19"/>
      <c r="COV3" s="19"/>
      <c r="COZ3" s="19"/>
      <c r="CPD3" s="19"/>
      <c r="CPH3" s="19"/>
      <c r="CPL3" s="19"/>
      <c r="CPP3" s="19"/>
      <c r="CPT3" s="19"/>
      <c r="CPX3" s="19"/>
      <c r="CQB3" s="19"/>
      <c r="CQF3" s="19"/>
      <c r="CQJ3" s="19"/>
      <c r="CQN3" s="19"/>
      <c r="CQR3" s="19"/>
      <c r="CQV3" s="19"/>
      <c r="CQZ3" s="19"/>
      <c r="CRD3" s="19"/>
      <c r="CRH3" s="19"/>
      <c r="CRL3" s="19"/>
      <c r="CRP3" s="19"/>
      <c r="CRT3" s="19"/>
      <c r="CRX3" s="19"/>
      <c r="CSB3" s="19"/>
      <c r="CSF3" s="19"/>
      <c r="CSJ3" s="19"/>
      <c r="CSN3" s="19"/>
      <c r="CSR3" s="19"/>
      <c r="CSV3" s="19"/>
      <c r="CSZ3" s="19"/>
      <c r="CTD3" s="19"/>
      <c r="CTH3" s="19"/>
      <c r="CTL3" s="19"/>
      <c r="CTP3" s="19"/>
      <c r="CTT3" s="19"/>
      <c r="CTX3" s="19"/>
      <c r="CUB3" s="19"/>
      <c r="CUF3" s="19"/>
      <c r="CUJ3" s="19"/>
      <c r="CUN3" s="19"/>
      <c r="CUR3" s="19"/>
      <c r="CUV3" s="19"/>
      <c r="CUZ3" s="19"/>
      <c r="CVD3" s="19"/>
      <c r="CVH3" s="19"/>
      <c r="CVL3" s="19"/>
      <c r="CVP3" s="19"/>
      <c r="CVT3" s="19"/>
      <c r="CVX3" s="19"/>
      <c r="CWB3" s="19"/>
      <c r="CWF3" s="19"/>
      <c r="CWJ3" s="19"/>
      <c r="CWN3" s="19"/>
      <c r="CWR3" s="19"/>
      <c r="CWV3" s="19"/>
      <c r="CWZ3" s="19"/>
      <c r="CXD3" s="19"/>
      <c r="CXH3" s="19"/>
      <c r="CXL3" s="19"/>
      <c r="CXP3" s="19"/>
      <c r="CXT3" s="19"/>
      <c r="CXX3" s="19"/>
      <c r="CYB3" s="19"/>
      <c r="CYF3" s="19"/>
      <c r="CYJ3" s="19"/>
      <c r="CYN3" s="19"/>
      <c r="CYR3" s="19"/>
      <c r="CYV3" s="19"/>
      <c r="CYZ3" s="19"/>
      <c r="CZD3" s="19"/>
      <c r="CZH3" s="19"/>
      <c r="CZL3" s="19"/>
      <c r="CZP3" s="19"/>
      <c r="CZT3" s="19"/>
      <c r="CZX3" s="19"/>
      <c r="DAB3" s="19"/>
      <c r="DAF3" s="19"/>
      <c r="DAJ3" s="19"/>
      <c r="DAN3" s="19"/>
      <c r="DAR3" s="19"/>
      <c r="DAV3" s="19"/>
      <c r="DAZ3" s="19"/>
      <c r="DBD3" s="19"/>
      <c r="DBH3" s="19"/>
      <c r="DBL3" s="19"/>
      <c r="DBP3" s="19"/>
      <c r="DBT3" s="19"/>
      <c r="DBX3" s="19"/>
      <c r="DCB3" s="19"/>
      <c r="DCF3" s="19"/>
      <c r="DCJ3" s="19"/>
      <c r="DCN3" s="19"/>
      <c r="DCR3" s="19"/>
      <c r="DCV3" s="19"/>
      <c r="DCZ3" s="19"/>
      <c r="DDD3" s="19"/>
      <c r="DDH3" s="19"/>
      <c r="DDL3" s="19"/>
      <c r="DDP3" s="19"/>
      <c r="DDT3" s="19"/>
      <c r="DDX3" s="19"/>
      <c r="DEB3" s="19"/>
      <c r="DEF3" s="19"/>
      <c r="DEJ3" s="19"/>
      <c r="DEN3" s="19"/>
      <c r="DER3" s="19"/>
      <c r="DEV3" s="19"/>
      <c r="DEZ3" s="19"/>
      <c r="DFD3" s="19"/>
      <c r="DFH3" s="19"/>
      <c r="DFL3" s="19"/>
      <c r="DFP3" s="19"/>
      <c r="DFT3" s="19"/>
      <c r="DFX3" s="19"/>
      <c r="DGB3" s="19"/>
      <c r="DGF3" s="19"/>
      <c r="DGJ3" s="19"/>
      <c r="DGN3" s="19"/>
      <c r="DGR3" s="19"/>
      <c r="DGV3" s="19"/>
      <c r="DGZ3" s="19"/>
      <c r="DHD3" s="19"/>
      <c r="DHH3" s="19"/>
      <c r="DHL3" s="19"/>
      <c r="DHP3" s="19"/>
      <c r="DHT3" s="19"/>
      <c r="DHX3" s="19"/>
      <c r="DIB3" s="19"/>
      <c r="DIF3" s="19"/>
      <c r="DIJ3" s="19"/>
      <c r="DIN3" s="19"/>
      <c r="DIR3" s="19"/>
      <c r="DIV3" s="19"/>
      <c r="DIZ3" s="19"/>
      <c r="DJD3" s="19"/>
      <c r="DJH3" s="19"/>
      <c r="DJL3" s="19"/>
      <c r="DJP3" s="19"/>
      <c r="DJT3" s="19"/>
      <c r="DJX3" s="19"/>
      <c r="DKB3" s="19"/>
      <c r="DKF3" s="19"/>
      <c r="DKJ3" s="19"/>
      <c r="DKN3" s="19"/>
      <c r="DKR3" s="19"/>
      <c r="DKV3" s="19"/>
      <c r="DKZ3" s="19"/>
      <c r="DLD3" s="19"/>
      <c r="DLH3" s="19"/>
      <c r="DLL3" s="19"/>
      <c r="DLP3" s="19"/>
      <c r="DLT3" s="19"/>
      <c r="DLX3" s="19"/>
      <c r="DMB3" s="19"/>
      <c r="DMF3" s="19"/>
      <c r="DMJ3" s="19"/>
      <c r="DMN3" s="19"/>
      <c r="DMR3" s="19"/>
      <c r="DMV3" s="19"/>
      <c r="DMZ3" s="19"/>
      <c r="DND3" s="19"/>
      <c r="DNH3" s="19"/>
      <c r="DNL3" s="19"/>
      <c r="DNP3" s="19"/>
      <c r="DNT3" s="19"/>
      <c r="DNX3" s="19"/>
      <c r="DOB3" s="19"/>
      <c r="DOF3" s="19"/>
      <c r="DOJ3" s="19"/>
      <c r="DON3" s="19"/>
      <c r="DOR3" s="19"/>
      <c r="DOV3" s="19"/>
      <c r="DOZ3" s="19"/>
      <c r="DPD3" s="19"/>
      <c r="DPH3" s="19"/>
      <c r="DPL3" s="19"/>
      <c r="DPP3" s="19"/>
      <c r="DPT3" s="19"/>
      <c r="DPX3" s="19"/>
      <c r="DQB3" s="19"/>
      <c r="DQF3" s="19"/>
      <c r="DQJ3" s="19"/>
      <c r="DQN3" s="19"/>
      <c r="DQR3" s="19"/>
      <c r="DQV3" s="19"/>
      <c r="DQZ3" s="19"/>
      <c r="DRD3" s="19"/>
      <c r="DRH3" s="19"/>
      <c r="DRL3" s="19"/>
      <c r="DRP3" s="19"/>
      <c r="DRT3" s="19"/>
      <c r="DRX3" s="19"/>
      <c r="DSB3" s="19"/>
      <c r="DSF3" s="19"/>
      <c r="DSJ3" s="19"/>
      <c r="DSN3" s="19"/>
      <c r="DSR3" s="19"/>
      <c r="DSV3" s="19"/>
      <c r="DSZ3" s="19"/>
      <c r="DTD3" s="19"/>
      <c r="DTH3" s="19"/>
      <c r="DTL3" s="19"/>
      <c r="DTP3" s="19"/>
      <c r="DTT3" s="19"/>
      <c r="DTX3" s="19"/>
      <c r="DUB3" s="19"/>
      <c r="DUF3" s="19"/>
      <c r="DUJ3" s="19"/>
      <c r="DUN3" s="19"/>
      <c r="DUR3" s="19"/>
      <c r="DUV3" s="19"/>
      <c r="DUZ3" s="19"/>
      <c r="DVD3" s="19"/>
      <c r="DVH3" s="19"/>
      <c r="DVL3" s="19"/>
      <c r="DVP3" s="19"/>
      <c r="DVT3" s="19"/>
      <c r="DVX3" s="19"/>
      <c r="DWB3" s="19"/>
      <c r="DWF3" s="19"/>
      <c r="DWJ3" s="19"/>
      <c r="DWN3" s="19"/>
      <c r="DWR3" s="19"/>
      <c r="DWV3" s="19"/>
      <c r="DWZ3" s="19"/>
      <c r="DXD3" s="19"/>
      <c r="DXH3" s="19"/>
      <c r="DXL3" s="19"/>
      <c r="DXP3" s="19"/>
      <c r="DXT3" s="19"/>
      <c r="DXX3" s="19"/>
      <c r="DYB3" s="19"/>
      <c r="DYF3" s="19"/>
      <c r="DYJ3" s="19"/>
      <c r="DYN3" s="19"/>
      <c r="DYR3" s="19"/>
      <c r="DYV3" s="19"/>
      <c r="DYZ3" s="19"/>
      <c r="DZD3" s="19"/>
      <c r="DZH3" s="19"/>
      <c r="DZL3" s="19"/>
      <c r="DZP3" s="19"/>
      <c r="DZT3" s="19"/>
      <c r="DZX3" s="19"/>
      <c r="EAB3" s="19"/>
      <c r="EAF3" s="19"/>
      <c r="EAJ3" s="19"/>
      <c r="EAN3" s="19"/>
      <c r="EAR3" s="19"/>
      <c r="EAV3" s="19"/>
      <c r="EAZ3" s="19"/>
      <c r="EBD3" s="19"/>
      <c r="EBH3" s="19"/>
      <c r="EBL3" s="19"/>
      <c r="EBP3" s="19"/>
      <c r="EBT3" s="19"/>
      <c r="EBX3" s="19"/>
      <c r="ECB3" s="19"/>
      <c r="ECF3" s="19"/>
      <c r="ECJ3" s="19"/>
      <c r="ECN3" s="19"/>
      <c r="ECR3" s="19"/>
      <c r="ECV3" s="19"/>
      <c r="ECZ3" s="19"/>
      <c r="EDD3" s="19"/>
      <c r="EDH3" s="19"/>
      <c r="EDL3" s="19"/>
      <c r="EDP3" s="19"/>
      <c r="EDT3" s="19"/>
      <c r="EDX3" s="19"/>
      <c r="EEB3" s="19"/>
      <c r="EEF3" s="19"/>
      <c r="EEJ3" s="19"/>
      <c r="EEN3" s="19"/>
      <c r="EER3" s="19"/>
      <c r="EEV3" s="19"/>
      <c r="EEZ3" s="19"/>
      <c r="EFD3" s="19"/>
      <c r="EFH3" s="19"/>
      <c r="EFL3" s="19"/>
      <c r="EFP3" s="19"/>
      <c r="EFT3" s="19"/>
      <c r="EFX3" s="19"/>
      <c r="EGB3" s="19"/>
      <c r="EGF3" s="19"/>
      <c r="EGJ3" s="19"/>
      <c r="EGN3" s="19"/>
      <c r="EGR3" s="19"/>
      <c r="EGV3" s="19"/>
      <c r="EGZ3" s="19"/>
      <c r="EHD3" s="19"/>
      <c r="EHH3" s="19"/>
      <c r="EHL3" s="19"/>
      <c r="EHP3" s="19"/>
      <c r="EHT3" s="19"/>
      <c r="EHX3" s="19"/>
      <c r="EIB3" s="19"/>
      <c r="EIF3" s="19"/>
      <c r="EIJ3" s="19"/>
      <c r="EIN3" s="19"/>
      <c r="EIR3" s="19"/>
      <c r="EIV3" s="19"/>
      <c r="EIZ3" s="19"/>
      <c r="EJD3" s="19"/>
      <c r="EJH3" s="19"/>
      <c r="EJL3" s="19"/>
      <c r="EJP3" s="19"/>
      <c r="EJT3" s="19"/>
      <c r="EJX3" s="19"/>
      <c r="EKB3" s="19"/>
      <c r="EKF3" s="19"/>
      <c r="EKJ3" s="19"/>
      <c r="EKN3" s="19"/>
      <c r="EKR3" s="19"/>
      <c r="EKV3" s="19"/>
      <c r="EKZ3" s="19"/>
      <c r="ELD3" s="19"/>
      <c r="ELH3" s="19"/>
      <c r="ELL3" s="19"/>
      <c r="ELP3" s="19"/>
      <c r="ELT3" s="19"/>
      <c r="ELX3" s="19"/>
      <c r="EMB3" s="19"/>
      <c r="EMF3" s="19"/>
      <c r="EMJ3" s="19"/>
      <c r="EMN3" s="19"/>
      <c r="EMR3" s="19"/>
      <c r="EMV3" s="19"/>
      <c r="EMZ3" s="19"/>
      <c r="END3" s="19"/>
      <c r="ENH3" s="19"/>
      <c r="ENL3" s="19"/>
      <c r="ENP3" s="19"/>
      <c r="ENT3" s="19"/>
      <c r="ENX3" s="19"/>
      <c r="EOB3" s="19"/>
      <c r="EOF3" s="19"/>
      <c r="EOJ3" s="19"/>
      <c r="EON3" s="19"/>
      <c r="EOR3" s="19"/>
      <c r="EOV3" s="19"/>
      <c r="EOZ3" s="19"/>
      <c r="EPD3" s="19"/>
      <c r="EPH3" s="19"/>
      <c r="EPL3" s="19"/>
      <c r="EPP3" s="19"/>
      <c r="EPT3" s="19"/>
      <c r="EPX3" s="19"/>
      <c r="EQB3" s="19"/>
      <c r="EQF3" s="19"/>
      <c r="EQJ3" s="19"/>
      <c r="EQN3" s="19"/>
      <c r="EQR3" s="19"/>
      <c r="EQV3" s="19"/>
      <c r="EQZ3" s="19"/>
      <c r="ERD3" s="19"/>
      <c r="ERH3" s="19"/>
      <c r="ERL3" s="19"/>
      <c r="ERP3" s="19"/>
      <c r="ERT3" s="19"/>
      <c r="ERX3" s="19"/>
      <c r="ESB3" s="19"/>
      <c r="ESF3" s="19"/>
      <c r="ESJ3" s="19"/>
      <c r="ESN3" s="19"/>
      <c r="ESR3" s="19"/>
      <c r="ESV3" s="19"/>
      <c r="ESZ3" s="19"/>
      <c r="ETD3" s="19"/>
      <c r="ETH3" s="19"/>
      <c r="ETL3" s="19"/>
      <c r="ETP3" s="19"/>
      <c r="ETT3" s="19"/>
      <c r="ETX3" s="19"/>
      <c r="EUB3" s="19"/>
      <c r="EUF3" s="19"/>
      <c r="EUJ3" s="19"/>
      <c r="EUN3" s="19"/>
      <c r="EUR3" s="19"/>
      <c r="EUV3" s="19"/>
      <c r="EUZ3" s="19"/>
      <c r="EVD3" s="19"/>
      <c r="EVH3" s="19"/>
      <c r="EVL3" s="19"/>
      <c r="EVP3" s="19"/>
      <c r="EVT3" s="19"/>
      <c r="EVX3" s="19"/>
      <c r="EWB3" s="19"/>
      <c r="EWF3" s="19"/>
      <c r="EWJ3" s="19"/>
      <c r="EWN3" s="19"/>
      <c r="EWR3" s="19"/>
      <c r="EWV3" s="19"/>
      <c r="EWZ3" s="19"/>
      <c r="EXD3" s="19"/>
      <c r="EXH3" s="19"/>
      <c r="EXL3" s="19"/>
      <c r="EXP3" s="19"/>
      <c r="EXT3" s="19"/>
      <c r="EXX3" s="19"/>
      <c r="EYB3" s="19"/>
      <c r="EYF3" s="19"/>
      <c r="EYJ3" s="19"/>
      <c r="EYN3" s="19"/>
      <c r="EYR3" s="19"/>
      <c r="EYV3" s="19"/>
      <c r="EYZ3" s="19"/>
      <c r="EZD3" s="19"/>
      <c r="EZH3" s="19"/>
      <c r="EZL3" s="19"/>
      <c r="EZP3" s="19"/>
      <c r="EZT3" s="19"/>
      <c r="EZX3" s="19"/>
      <c r="FAB3" s="19"/>
      <c r="FAF3" s="19"/>
      <c r="FAJ3" s="19"/>
      <c r="FAN3" s="19"/>
      <c r="FAR3" s="19"/>
      <c r="FAV3" s="19"/>
      <c r="FAZ3" s="19"/>
      <c r="FBD3" s="19"/>
      <c r="FBH3" s="19"/>
      <c r="FBL3" s="19"/>
      <c r="FBP3" s="19"/>
      <c r="FBT3" s="19"/>
      <c r="FBX3" s="19"/>
      <c r="FCB3" s="19"/>
      <c r="FCF3" s="19"/>
      <c r="FCJ3" s="19"/>
      <c r="FCN3" s="19"/>
      <c r="FCR3" s="19"/>
      <c r="FCV3" s="19"/>
      <c r="FCZ3" s="19"/>
      <c r="FDD3" s="19"/>
      <c r="FDH3" s="19"/>
      <c r="FDL3" s="19"/>
      <c r="FDP3" s="19"/>
      <c r="FDT3" s="19"/>
      <c r="FDX3" s="19"/>
      <c r="FEB3" s="19"/>
      <c r="FEF3" s="19"/>
      <c r="FEJ3" s="19"/>
      <c r="FEN3" s="19"/>
      <c r="FER3" s="19"/>
      <c r="FEV3" s="19"/>
      <c r="FEZ3" s="19"/>
      <c r="FFD3" s="19"/>
      <c r="FFH3" s="19"/>
      <c r="FFL3" s="19"/>
      <c r="FFP3" s="19"/>
      <c r="FFT3" s="19"/>
      <c r="FFX3" s="19"/>
      <c r="FGB3" s="19"/>
      <c r="FGF3" s="19"/>
      <c r="FGJ3" s="19"/>
      <c r="FGN3" s="19"/>
      <c r="FGR3" s="19"/>
      <c r="FGV3" s="19"/>
      <c r="FGZ3" s="19"/>
      <c r="FHD3" s="19"/>
      <c r="FHH3" s="19"/>
      <c r="FHL3" s="19"/>
      <c r="FHP3" s="19"/>
      <c r="FHT3" s="19"/>
      <c r="FHX3" s="19"/>
      <c r="FIB3" s="19"/>
      <c r="FIF3" s="19"/>
      <c r="FIJ3" s="19"/>
      <c r="FIN3" s="19"/>
      <c r="FIR3" s="19"/>
      <c r="FIV3" s="19"/>
      <c r="FIZ3" s="19"/>
      <c r="FJD3" s="19"/>
      <c r="FJH3" s="19"/>
      <c r="FJL3" s="19"/>
      <c r="FJP3" s="19"/>
      <c r="FJT3" s="19"/>
      <c r="FJX3" s="19"/>
      <c r="FKB3" s="19"/>
      <c r="FKF3" s="19"/>
      <c r="FKJ3" s="19"/>
      <c r="FKN3" s="19"/>
      <c r="FKR3" s="19"/>
      <c r="FKV3" s="19"/>
      <c r="FKZ3" s="19"/>
      <c r="FLD3" s="19"/>
      <c r="FLH3" s="19"/>
      <c r="FLL3" s="19"/>
      <c r="FLP3" s="19"/>
      <c r="FLT3" s="19"/>
      <c r="FLX3" s="19"/>
      <c r="FMB3" s="19"/>
      <c r="FMF3" s="19"/>
      <c r="FMJ3" s="19"/>
      <c r="FMN3" s="19"/>
      <c r="FMR3" s="19"/>
      <c r="FMV3" s="19"/>
      <c r="FMZ3" s="19"/>
      <c r="FND3" s="19"/>
      <c r="FNH3" s="19"/>
      <c r="FNL3" s="19"/>
      <c r="FNP3" s="19"/>
      <c r="FNT3" s="19"/>
      <c r="FNX3" s="19"/>
      <c r="FOB3" s="19"/>
      <c r="FOF3" s="19"/>
      <c r="FOJ3" s="19"/>
      <c r="FON3" s="19"/>
      <c r="FOR3" s="19"/>
      <c r="FOV3" s="19"/>
      <c r="FOZ3" s="19"/>
      <c r="FPD3" s="19"/>
      <c r="FPH3" s="19"/>
      <c r="FPL3" s="19"/>
      <c r="FPP3" s="19"/>
      <c r="FPT3" s="19"/>
      <c r="FPX3" s="19"/>
      <c r="FQB3" s="19"/>
      <c r="FQF3" s="19"/>
      <c r="FQJ3" s="19"/>
      <c r="FQN3" s="19"/>
      <c r="FQR3" s="19"/>
      <c r="FQV3" s="19"/>
      <c r="FQZ3" s="19"/>
      <c r="FRD3" s="19"/>
      <c r="FRH3" s="19"/>
      <c r="FRL3" s="19"/>
      <c r="FRP3" s="19"/>
      <c r="FRT3" s="19"/>
      <c r="FRX3" s="19"/>
      <c r="FSB3" s="19"/>
      <c r="FSF3" s="19"/>
      <c r="FSJ3" s="19"/>
      <c r="FSN3" s="19"/>
      <c r="FSR3" s="19"/>
      <c r="FSV3" s="19"/>
      <c r="FSZ3" s="19"/>
      <c r="FTD3" s="19"/>
      <c r="FTH3" s="19"/>
      <c r="FTL3" s="19"/>
      <c r="FTP3" s="19"/>
      <c r="FTT3" s="19"/>
      <c r="FTX3" s="19"/>
      <c r="FUB3" s="19"/>
      <c r="FUF3" s="19"/>
      <c r="FUJ3" s="19"/>
      <c r="FUN3" s="19"/>
      <c r="FUR3" s="19"/>
      <c r="FUV3" s="19"/>
      <c r="FUZ3" s="19"/>
      <c r="FVD3" s="19"/>
      <c r="FVH3" s="19"/>
      <c r="FVL3" s="19"/>
      <c r="FVP3" s="19"/>
      <c r="FVT3" s="19"/>
      <c r="FVX3" s="19"/>
      <c r="FWB3" s="19"/>
      <c r="FWF3" s="19"/>
      <c r="FWJ3" s="19"/>
      <c r="FWN3" s="19"/>
      <c r="FWR3" s="19"/>
      <c r="FWV3" s="19"/>
      <c r="FWZ3" s="19"/>
      <c r="FXD3" s="19"/>
      <c r="FXH3" s="19"/>
      <c r="FXL3" s="19"/>
      <c r="FXP3" s="19"/>
      <c r="FXT3" s="19"/>
      <c r="FXX3" s="19"/>
      <c r="FYB3" s="19"/>
      <c r="FYF3" s="19"/>
      <c r="FYJ3" s="19"/>
      <c r="FYN3" s="19"/>
      <c r="FYR3" s="19"/>
      <c r="FYV3" s="19"/>
      <c r="FYZ3" s="19"/>
      <c r="FZD3" s="19"/>
      <c r="FZH3" s="19"/>
      <c r="FZL3" s="19"/>
      <c r="FZP3" s="19"/>
      <c r="FZT3" s="19"/>
      <c r="FZX3" s="19"/>
      <c r="GAB3" s="19"/>
      <c r="GAF3" s="19"/>
      <c r="GAJ3" s="19"/>
      <c r="GAN3" s="19"/>
      <c r="GAR3" s="19"/>
      <c r="GAV3" s="19"/>
      <c r="GAZ3" s="19"/>
      <c r="GBD3" s="19"/>
      <c r="GBH3" s="19"/>
      <c r="GBL3" s="19"/>
      <c r="GBP3" s="19"/>
      <c r="GBT3" s="19"/>
      <c r="GBX3" s="19"/>
      <c r="GCB3" s="19"/>
      <c r="GCF3" s="19"/>
      <c r="GCJ3" s="19"/>
      <c r="GCN3" s="19"/>
      <c r="GCR3" s="19"/>
      <c r="GCV3" s="19"/>
      <c r="GCZ3" s="19"/>
      <c r="GDD3" s="19"/>
      <c r="GDH3" s="19"/>
      <c r="GDL3" s="19"/>
      <c r="GDP3" s="19"/>
      <c r="GDT3" s="19"/>
      <c r="GDX3" s="19"/>
      <c r="GEB3" s="19"/>
      <c r="GEF3" s="19"/>
      <c r="GEJ3" s="19"/>
      <c r="GEN3" s="19"/>
      <c r="GER3" s="19"/>
      <c r="GEV3" s="19"/>
      <c r="GEZ3" s="19"/>
      <c r="GFD3" s="19"/>
      <c r="GFH3" s="19"/>
      <c r="GFL3" s="19"/>
      <c r="GFP3" s="19"/>
      <c r="GFT3" s="19"/>
      <c r="GFX3" s="19"/>
      <c r="GGB3" s="19"/>
      <c r="GGF3" s="19"/>
      <c r="GGJ3" s="19"/>
      <c r="GGN3" s="19"/>
      <c r="GGR3" s="19"/>
      <c r="GGV3" s="19"/>
      <c r="GGZ3" s="19"/>
      <c r="GHD3" s="19"/>
      <c r="GHH3" s="19"/>
      <c r="GHL3" s="19"/>
      <c r="GHP3" s="19"/>
      <c r="GHT3" s="19"/>
      <c r="GHX3" s="19"/>
      <c r="GIB3" s="19"/>
      <c r="GIF3" s="19"/>
      <c r="GIJ3" s="19"/>
      <c r="GIN3" s="19"/>
      <c r="GIR3" s="19"/>
      <c r="GIV3" s="19"/>
      <c r="GIZ3" s="19"/>
      <c r="GJD3" s="19"/>
      <c r="GJH3" s="19"/>
      <c r="GJL3" s="19"/>
      <c r="GJP3" s="19"/>
      <c r="GJT3" s="19"/>
      <c r="GJX3" s="19"/>
      <c r="GKB3" s="19"/>
      <c r="GKF3" s="19"/>
      <c r="GKJ3" s="19"/>
      <c r="GKN3" s="19"/>
      <c r="GKR3" s="19"/>
      <c r="GKV3" s="19"/>
      <c r="GKZ3" s="19"/>
      <c r="GLD3" s="19"/>
      <c r="GLH3" s="19"/>
      <c r="GLL3" s="19"/>
      <c r="GLP3" s="19"/>
      <c r="GLT3" s="19"/>
      <c r="GLX3" s="19"/>
      <c r="GMB3" s="19"/>
      <c r="GMF3" s="19"/>
      <c r="GMJ3" s="19"/>
      <c r="GMN3" s="19"/>
      <c r="GMR3" s="19"/>
      <c r="GMV3" s="19"/>
      <c r="GMZ3" s="19"/>
      <c r="GND3" s="19"/>
      <c r="GNH3" s="19"/>
      <c r="GNL3" s="19"/>
      <c r="GNP3" s="19"/>
      <c r="GNT3" s="19"/>
      <c r="GNX3" s="19"/>
      <c r="GOB3" s="19"/>
      <c r="GOF3" s="19"/>
      <c r="GOJ3" s="19"/>
      <c r="GON3" s="19"/>
      <c r="GOR3" s="19"/>
      <c r="GOV3" s="19"/>
      <c r="GOZ3" s="19"/>
      <c r="GPD3" s="19"/>
      <c r="GPH3" s="19"/>
      <c r="GPL3" s="19"/>
      <c r="GPP3" s="19"/>
      <c r="GPT3" s="19"/>
      <c r="GPX3" s="19"/>
      <c r="GQB3" s="19"/>
      <c r="GQF3" s="19"/>
      <c r="GQJ3" s="19"/>
      <c r="GQN3" s="19"/>
      <c r="GQR3" s="19"/>
      <c r="GQV3" s="19"/>
      <c r="GQZ3" s="19"/>
      <c r="GRD3" s="19"/>
      <c r="GRH3" s="19"/>
      <c r="GRL3" s="19"/>
      <c r="GRP3" s="19"/>
      <c r="GRT3" s="19"/>
      <c r="GRX3" s="19"/>
      <c r="GSB3" s="19"/>
      <c r="GSF3" s="19"/>
      <c r="GSJ3" s="19"/>
      <c r="GSN3" s="19"/>
      <c r="GSR3" s="19"/>
      <c r="GSV3" s="19"/>
      <c r="GSZ3" s="19"/>
      <c r="GTD3" s="19"/>
      <c r="GTH3" s="19"/>
      <c r="GTL3" s="19"/>
      <c r="GTP3" s="19"/>
      <c r="GTT3" s="19"/>
      <c r="GTX3" s="19"/>
      <c r="GUB3" s="19"/>
      <c r="GUF3" s="19"/>
      <c r="GUJ3" s="19"/>
      <c r="GUN3" s="19"/>
      <c r="GUR3" s="19"/>
      <c r="GUV3" s="19"/>
      <c r="GUZ3" s="19"/>
      <c r="GVD3" s="19"/>
      <c r="GVH3" s="19"/>
      <c r="GVL3" s="19"/>
      <c r="GVP3" s="19"/>
      <c r="GVT3" s="19"/>
      <c r="GVX3" s="19"/>
      <c r="GWB3" s="19"/>
      <c r="GWF3" s="19"/>
      <c r="GWJ3" s="19"/>
      <c r="GWN3" s="19"/>
      <c r="GWR3" s="19"/>
      <c r="GWV3" s="19"/>
      <c r="GWZ3" s="19"/>
      <c r="GXD3" s="19"/>
      <c r="GXH3" s="19"/>
      <c r="GXL3" s="19"/>
      <c r="GXP3" s="19"/>
      <c r="GXT3" s="19"/>
      <c r="GXX3" s="19"/>
      <c r="GYB3" s="19"/>
      <c r="GYF3" s="19"/>
      <c r="GYJ3" s="19"/>
      <c r="GYN3" s="19"/>
      <c r="GYR3" s="19"/>
      <c r="GYV3" s="19"/>
      <c r="GYZ3" s="19"/>
      <c r="GZD3" s="19"/>
      <c r="GZH3" s="19"/>
      <c r="GZL3" s="19"/>
      <c r="GZP3" s="19"/>
      <c r="GZT3" s="19"/>
      <c r="GZX3" s="19"/>
      <c r="HAB3" s="19"/>
      <c r="HAF3" s="19"/>
      <c r="HAJ3" s="19"/>
      <c r="HAN3" s="19"/>
      <c r="HAR3" s="19"/>
      <c r="HAV3" s="19"/>
      <c r="HAZ3" s="19"/>
      <c r="HBD3" s="19"/>
      <c r="HBH3" s="19"/>
      <c r="HBL3" s="19"/>
      <c r="HBP3" s="19"/>
      <c r="HBT3" s="19"/>
      <c r="HBX3" s="19"/>
      <c r="HCB3" s="19"/>
      <c r="HCF3" s="19"/>
      <c r="HCJ3" s="19"/>
      <c r="HCN3" s="19"/>
      <c r="HCR3" s="19"/>
      <c r="HCV3" s="19"/>
      <c r="HCZ3" s="19"/>
      <c r="HDD3" s="19"/>
      <c r="HDH3" s="19"/>
      <c r="HDL3" s="19"/>
      <c r="HDP3" s="19"/>
      <c r="HDT3" s="19"/>
      <c r="HDX3" s="19"/>
      <c r="HEB3" s="19"/>
      <c r="HEF3" s="19"/>
      <c r="HEJ3" s="19"/>
      <c r="HEN3" s="19"/>
      <c r="HER3" s="19"/>
      <c r="HEV3" s="19"/>
      <c r="HEZ3" s="19"/>
      <c r="HFD3" s="19"/>
      <c r="HFH3" s="19"/>
      <c r="HFL3" s="19"/>
      <c r="HFP3" s="19"/>
      <c r="HFT3" s="19"/>
      <c r="HFX3" s="19"/>
      <c r="HGB3" s="19"/>
      <c r="HGF3" s="19"/>
      <c r="HGJ3" s="19"/>
      <c r="HGN3" s="19"/>
      <c r="HGR3" s="19"/>
      <c r="HGV3" s="19"/>
      <c r="HGZ3" s="19"/>
      <c r="HHD3" s="19"/>
      <c r="HHH3" s="19"/>
      <c r="HHL3" s="19"/>
      <c r="HHP3" s="19"/>
      <c r="HHT3" s="19"/>
      <c r="HHX3" s="19"/>
      <c r="HIB3" s="19"/>
      <c r="HIF3" s="19"/>
      <c r="HIJ3" s="19"/>
      <c r="HIN3" s="19"/>
      <c r="HIR3" s="19"/>
      <c r="HIV3" s="19"/>
      <c r="HIZ3" s="19"/>
      <c r="HJD3" s="19"/>
      <c r="HJH3" s="19"/>
      <c r="HJL3" s="19"/>
      <c r="HJP3" s="19"/>
      <c r="HJT3" s="19"/>
      <c r="HJX3" s="19"/>
      <c r="HKB3" s="19"/>
      <c r="HKF3" s="19"/>
      <c r="HKJ3" s="19"/>
      <c r="HKN3" s="19"/>
      <c r="HKR3" s="19"/>
      <c r="HKV3" s="19"/>
      <c r="HKZ3" s="19"/>
      <c r="HLD3" s="19"/>
      <c r="HLH3" s="19"/>
      <c r="HLL3" s="19"/>
      <c r="HLP3" s="19"/>
      <c r="HLT3" s="19"/>
      <c r="HLX3" s="19"/>
      <c r="HMB3" s="19"/>
      <c r="HMF3" s="19"/>
      <c r="HMJ3" s="19"/>
      <c r="HMN3" s="19"/>
      <c r="HMR3" s="19"/>
      <c r="HMV3" s="19"/>
      <c r="HMZ3" s="19"/>
      <c r="HND3" s="19"/>
      <c r="HNH3" s="19"/>
      <c r="HNL3" s="19"/>
      <c r="HNP3" s="19"/>
      <c r="HNT3" s="19"/>
      <c r="HNX3" s="19"/>
      <c r="HOB3" s="19"/>
      <c r="HOF3" s="19"/>
      <c r="HOJ3" s="19"/>
      <c r="HON3" s="19"/>
      <c r="HOR3" s="19"/>
      <c r="HOV3" s="19"/>
      <c r="HOZ3" s="19"/>
      <c r="HPD3" s="19"/>
      <c r="HPH3" s="19"/>
      <c r="HPL3" s="19"/>
      <c r="HPP3" s="19"/>
      <c r="HPT3" s="19"/>
      <c r="HPX3" s="19"/>
      <c r="HQB3" s="19"/>
      <c r="HQF3" s="19"/>
      <c r="HQJ3" s="19"/>
      <c r="HQN3" s="19"/>
      <c r="HQR3" s="19"/>
      <c r="HQV3" s="19"/>
      <c r="HQZ3" s="19"/>
      <c r="HRD3" s="19"/>
      <c r="HRH3" s="19"/>
      <c r="HRL3" s="19"/>
      <c r="HRP3" s="19"/>
      <c r="HRT3" s="19"/>
      <c r="HRX3" s="19"/>
      <c r="HSB3" s="19"/>
      <c r="HSF3" s="19"/>
      <c r="HSJ3" s="19"/>
      <c r="HSN3" s="19"/>
      <c r="HSR3" s="19"/>
      <c r="HSV3" s="19"/>
      <c r="HSZ3" s="19"/>
      <c r="HTD3" s="19"/>
      <c r="HTH3" s="19"/>
      <c r="HTL3" s="19"/>
      <c r="HTP3" s="19"/>
      <c r="HTT3" s="19"/>
      <c r="HTX3" s="19"/>
      <c r="HUB3" s="19"/>
      <c r="HUF3" s="19"/>
      <c r="HUJ3" s="19"/>
      <c r="HUN3" s="19"/>
      <c r="HUR3" s="19"/>
      <c r="HUV3" s="19"/>
      <c r="HUZ3" s="19"/>
      <c r="HVD3" s="19"/>
      <c r="HVH3" s="19"/>
      <c r="HVL3" s="19"/>
      <c r="HVP3" s="19"/>
      <c r="HVT3" s="19"/>
      <c r="HVX3" s="19"/>
      <c r="HWB3" s="19"/>
      <c r="HWF3" s="19"/>
      <c r="HWJ3" s="19"/>
      <c r="HWN3" s="19"/>
      <c r="HWR3" s="19"/>
      <c r="HWV3" s="19"/>
      <c r="HWZ3" s="19"/>
      <c r="HXD3" s="19"/>
      <c r="HXH3" s="19"/>
      <c r="HXL3" s="19"/>
      <c r="HXP3" s="19"/>
      <c r="HXT3" s="19"/>
      <c r="HXX3" s="19"/>
      <c r="HYB3" s="19"/>
      <c r="HYF3" s="19"/>
      <c r="HYJ3" s="19"/>
      <c r="HYN3" s="19"/>
      <c r="HYR3" s="19"/>
      <c r="HYV3" s="19"/>
      <c r="HYZ3" s="19"/>
      <c r="HZD3" s="19"/>
      <c r="HZH3" s="19"/>
      <c r="HZL3" s="19"/>
      <c r="HZP3" s="19"/>
      <c r="HZT3" s="19"/>
      <c r="HZX3" s="19"/>
      <c r="IAB3" s="19"/>
      <c r="IAF3" s="19"/>
      <c r="IAJ3" s="19"/>
      <c r="IAN3" s="19"/>
      <c r="IAR3" s="19"/>
      <c r="IAV3" s="19"/>
      <c r="IAZ3" s="19"/>
      <c r="IBD3" s="19"/>
      <c r="IBH3" s="19"/>
      <c r="IBL3" s="19"/>
      <c r="IBP3" s="19"/>
      <c r="IBT3" s="19"/>
      <c r="IBX3" s="19"/>
      <c r="ICB3" s="19"/>
      <c r="ICF3" s="19"/>
      <c r="ICJ3" s="19"/>
      <c r="ICN3" s="19"/>
      <c r="ICR3" s="19"/>
      <c r="ICV3" s="19"/>
      <c r="ICZ3" s="19"/>
      <c r="IDD3" s="19"/>
      <c r="IDH3" s="19"/>
      <c r="IDL3" s="19"/>
      <c r="IDP3" s="19"/>
      <c r="IDT3" s="19"/>
      <c r="IDX3" s="19"/>
      <c r="IEB3" s="19"/>
      <c r="IEF3" s="19"/>
      <c r="IEJ3" s="19"/>
      <c r="IEN3" s="19"/>
      <c r="IER3" s="19"/>
      <c r="IEV3" s="19"/>
      <c r="IEZ3" s="19"/>
      <c r="IFD3" s="19"/>
      <c r="IFH3" s="19"/>
      <c r="IFL3" s="19"/>
      <c r="IFP3" s="19"/>
      <c r="IFT3" s="19"/>
      <c r="IFX3" s="19"/>
      <c r="IGB3" s="19"/>
      <c r="IGF3" s="19"/>
      <c r="IGJ3" s="19"/>
      <c r="IGN3" s="19"/>
      <c r="IGR3" s="19"/>
      <c r="IGV3" s="19"/>
      <c r="IGZ3" s="19"/>
      <c r="IHD3" s="19"/>
      <c r="IHH3" s="19"/>
      <c r="IHL3" s="19"/>
      <c r="IHP3" s="19"/>
      <c r="IHT3" s="19"/>
      <c r="IHX3" s="19"/>
      <c r="IIB3" s="19"/>
      <c r="IIF3" s="19"/>
      <c r="IIJ3" s="19"/>
      <c r="IIN3" s="19"/>
      <c r="IIR3" s="19"/>
      <c r="IIV3" s="19"/>
      <c r="IIZ3" s="19"/>
      <c r="IJD3" s="19"/>
      <c r="IJH3" s="19"/>
      <c r="IJL3" s="19"/>
      <c r="IJP3" s="19"/>
      <c r="IJT3" s="19"/>
      <c r="IJX3" s="19"/>
      <c r="IKB3" s="19"/>
      <c r="IKF3" s="19"/>
      <c r="IKJ3" s="19"/>
      <c r="IKN3" s="19"/>
      <c r="IKR3" s="19"/>
      <c r="IKV3" s="19"/>
      <c r="IKZ3" s="19"/>
      <c r="ILD3" s="19"/>
      <c r="ILH3" s="19"/>
      <c r="ILL3" s="19"/>
      <c r="ILP3" s="19"/>
      <c r="ILT3" s="19"/>
      <c r="ILX3" s="19"/>
      <c r="IMB3" s="19"/>
      <c r="IMF3" s="19"/>
      <c r="IMJ3" s="19"/>
      <c r="IMN3" s="19"/>
      <c r="IMR3" s="19"/>
      <c r="IMV3" s="19"/>
      <c r="IMZ3" s="19"/>
      <c r="IND3" s="19"/>
      <c r="INH3" s="19"/>
      <c r="INL3" s="19"/>
      <c r="INP3" s="19"/>
      <c r="INT3" s="19"/>
      <c r="INX3" s="19"/>
      <c r="IOB3" s="19"/>
      <c r="IOF3" s="19"/>
      <c r="IOJ3" s="19"/>
      <c r="ION3" s="19"/>
      <c r="IOR3" s="19"/>
      <c r="IOV3" s="19"/>
      <c r="IOZ3" s="19"/>
      <c r="IPD3" s="19"/>
      <c r="IPH3" s="19"/>
      <c r="IPL3" s="19"/>
      <c r="IPP3" s="19"/>
      <c r="IPT3" s="19"/>
      <c r="IPX3" s="19"/>
      <c r="IQB3" s="19"/>
      <c r="IQF3" s="19"/>
      <c r="IQJ3" s="19"/>
      <c r="IQN3" s="19"/>
      <c r="IQR3" s="19"/>
      <c r="IQV3" s="19"/>
      <c r="IQZ3" s="19"/>
      <c r="IRD3" s="19"/>
      <c r="IRH3" s="19"/>
      <c r="IRL3" s="19"/>
      <c r="IRP3" s="19"/>
      <c r="IRT3" s="19"/>
      <c r="IRX3" s="19"/>
      <c r="ISB3" s="19"/>
      <c r="ISF3" s="19"/>
      <c r="ISJ3" s="19"/>
      <c r="ISN3" s="19"/>
      <c r="ISR3" s="19"/>
      <c r="ISV3" s="19"/>
      <c r="ISZ3" s="19"/>
      <c r="ITD3" s="19"/>
      <c r="ITH3" s="19"/>
      <c r="ITL3" s="19"/>
      <c r="ITP3" s="19"/>
      <c r="ITT3" s="19"/>
      <c r="ITX3" s="19"/>
      <c r="IUB3" s="19"/>
      <c r="IUF3" s="19"/>
      <c r="IUJ3" s="19"/>
      <c r="IUN3" s="19"/>
      <c r="IUR3" s="19"/>
      <c r="IUV3" s="19"/>
      <c r="IUZ3" s="19"/>
      <c r="IVD3" s="19"/>
      <c r="IVH3" s="19"/>
      <c r="IVL3" s="19"/>
      <c r="IVP3" s="19"/>
      <c r="IVT3" s="19"/>
      <c r="IVX3" s="19"/>
      <c r="IWB3" s="19"/>
      <c r="IWF3" s="19"/>
      <c r="IWJ3" s="19"/>
      <c r="IWN3" s="19"/>
      <c r="IWR3" s="19"/>
      <c r="IWV3" s="19"/>
      <c r="IWZ3" s="19"/>
      <c r="IXD3" s="19"/>
      <c r="IXH3" s="19"/>
      <c r="IXL3" s="19"/>
      <c r="IXP3" s="19"/>
      <c r="IXT3" s="19"/>
      <c r="IXX3" s="19"/>
      <c r="IYB3" s="19"/>
      <c r="IYF3" s="19"/>
      <c r="IYJ3" s="19"/>
      <c r="IYN3" s="19"/>
      <c r="IYR3" s="19"/>
      <c r="IYV3" s="19"/>
      <c r="IYZ3" s="19"/>
      <c r="IZD3" s="19"/>
      <c r="IZH3" s="19"/>
      <c r="IZL3" s="19"/>
      <c r="IZP3" s="19"/>
      <c r="IZT3" s="19"/>
      <c r="IZX3" s="19"/>
      <c r="JAB3" s="19"/>
      <c r="JAF3" s="19"/>
      <c r="JAJ3" s="19"/>
      <c r="JAN3" s="19"/>
      <c r="JAR3" s="19"/>
      <c r="JAV3" s="19"/>
      <c r="JAZ3" s="19"/>
      <c r="JBD3" s="19"/>
      <c r="JBH3" s="19"/>
      <c r="JBL3" s="19"/>
      <c r="JBP3" s="19"/>
      <c r="JBT3" s="19"/>
      <c r="JBX3" s="19"/>
      <c r="JCB3" s="19"/>
      <c r="JCF3" s="19"/>
      <c r="JCJ3" s="19"/>
      <c r="JCN3" s="19"/>
      <c r="JCR3" s="19"/>
      <c r="JCV3" s="19"/>
      <c r="JCZ3" s="19"/>
      <c r="JDD3" s="19"/>
      <c r="JDH3" s="19"/>
      <c r="JDL3" s="19"/>
      <c r="JDP3" s="19"/>
      <c r="JDT3" s="19"/>
      <c r="JDX3" s="19"/>
      <c r="JEB3" s="19"/>
      <c r="JEF3" s="19"/>
      <c r="JEJ3" s="19"/>
      <c r="JEN3" s="19"/>
      <c r="JER3" s="19"/>
      <c r="JEV3" s="19"/>
      <c r="JEZ3" s="19"/>
      <c r="JFD3" s="19"/>
      <c r="JFH3" s="19"/>
      <c r="JFL3" s="19"/>
      <c r="JFP3" s="19"/>
      <c r="JFT3" s="19"/>
      <c r="JFX3" s="19"/>
      <c r="JGB3" s="19"/>
      <c r="JGF3" s="19"/>
      <c r="JGJ3" s="19"/>
      <c r="JGN3" s="19"/>
      <c r="JGR3" s="19"/>
      <c r="JGV3" s="19"/>
      <c r="JGZ3" s="19"/>
      <c r="JHD3" s="19"/>
      <c r="JHH3" s="19"/>
      <c r="JHL3" s="19"/>
      <c r="JHP3" s="19"/>
      <c r="JHT3" s="19"/>
      <c r="JHX3" s="19"/>
      <c r="JIB3" s="19"/>
      <c r="JIF3" s="19"/>
      <c r="JIJ3" s="19"/>
      <c r="JIN3" s="19"/>
      <c r="JIR3" s="19"/>
      <c r="JIV3" s="19"/>
      <c r="JIZ3" s="19"/>
      <c r="JJD3" s="19"/>
      <c r="JJH3" s="19"/>
      <c r="JJL3" s="19"/>
      <c r="JJP3" s="19"/>
      <c r="JJT3" s="19"/>
      <c r="JJX3" s="19"/>
      <c r="JKB3" s="19"/>
      <c r="JKF3" s="19"/>
      <c r="JKJ3" s="19"/>
      <c r="JKN3" s="19"/>
      <c r="JKR3" s="19"/>
      <c r="JKV3" s="19"/>
      <c r="JKZ3" s="19"/>
      <c r="JLD3" s="19"/>
      <c r="JLH3" s="19"/>
      <c r="JLL3" s="19"/>
      <c r="JLP3" s="19"/>
      <c r="JLT3" s="19"/>
      <c r="JLX3" s="19"/>
      <c r="JMB3" s="19"/>
      <c r="JMF3" s="19"/>
      <c r="JMJ3" s="19"/>
      <c r="JMN3" s="19"/>
      <c r="JMR3" s="19"/>
      <c r="JMV3" s="19"/>
      <c r="JMZ3" s="19"/>
      <c r="JND3" s="19"/>
      <c r="JNH3" s="19"/>
      <c r="JNL3" s="19"/>
      <c r="JNP3" s="19"/>
      <c r="JNT3" s="19"/>
      <c r="JNX3" s="19"/>
      <c r="JOB3" s="19"/>
      <c r="JOF3" s="19"/>
      <c r="JOJ3" s="19"/>
      <c r="JON3" s="19"/>
      <c r="JOR3" s="19"/>
      <c r="JOV3" s="19"/>
      <c r="JOZ3" s="19"/>
      <c r="JPD3" s="19"/>
      <c r="JPH3" s="19"/>
      <c r="JPL3" s="19"/>
      <c r="JPP3" s="19"/>
      <c r="JPT3" s="19"/>
      <c r="JPX3" s="19"/>
      <c r="JQB3" s="19"/>
      <c r="JQF3" s="19"/>
      <c r="JQJ3" s="19"/>
      <c r="JQN3" s="19"/>
      <c r="JQR3" s="19"/>
      <c r="JQV3" s="19"/>
      <c r="JQZ3" s="19"/>
      <c r="JRD3" s="19"/>
      <c r="JRH3" s="19"/>
      <c r="JRL3" s="19"/>
      <c r="JRP3" s="19"/>
      <c r="JRT3" s="19"/>
      <c r="JRX3" s="19"/>
      <c r="JSB3" s="19"/>
      <c r="JSF3" s="19"/>
      <c r="JSJ3" s="19"/>
      <c r="JSN3" s="19"/>
      <c r="JSR3" s="19"/>
      <c r="JSV3" s="19"/>
      <c r="JSZ3" s="19"/>
      <c r="JTD3" s="19"/>
      <c r="JTH3" s="19"/>
      <c r="JTL3" s="19"/>
      <c r="JTP3" s="19"/>
      <c r="JTT3" s="19"/>
      <c r="JTX3" s="19"/>
      <c r="JUB3" s="19"/>
      <c r="JUF3" s="19"/>
      <c r="JUJ3" s="19"/>
      <c r="JUN3" s="19"/>
      <c r="JUR3" s="19"/>
      <c r="JUV3" s="19"/>
      <c r="JUZ3" s="19"/>
      <c r="JVD3" s="19"/>
      <c r="JVH3" s="19"/>
      <c r="JVL3" s="19"/>
      <c r="JVP3" s="19"/>
      <c r="JVT3" s="19"/>
      <c r="JVX3" s="19"/>
      <c r="JWB3" s="19"/>
      <c r="JWF3" s="19"/>
      <c r="JWJ3" s="19"/>
      <c r="JWN3" s="19"/>
      <c r="JWR3" s="19"/>
      <c r="JWV3" s="19"/>
      <c r="JWZ3" s="19"/>
      <c r="JXD3" s="19"/>
      <c r="JXH3" s="19"/>
      <c r="JXL3" s="19"/>
      <c r="JXP3" s="19"/>
      <c r="JXT3" s="19"/>
      <c r="JXX3" s="19"/>
      <c r="JYB3" s="19"/>
      <c r="JYF3" s="19"/>
      <c r="JYJ3" s="19"/>
      <c r="JYN3" s="19"/>
      <c r="JYR3" s="19"/>
      <c r="JYV3" s="19"/>
      <c r="JYZ3" s="19"/>
      <c r="JZD3" s="19"/>
      <c r="JZH3" s="19"/>
      <c r="JZL3" s="19"/>
      <c r="JZP3" s="19"/>
      <c r="JZT3" s="19"/>
      <c r="JZX3" s="19"/>
      <c r="KAB3" s="19"/>
      <c r="KAF3" s="19"/>
      <c r="KAJ3" s="19"/>
      <c r="KAN3" s="19"/>
      <c r="KAR3" s="19"/>
      <c r="KAV3" s="19"/>
      <c r="KAZ3" s="19"/>
      <c r="KBD3" s="19"/>
      <c r="KBH3" s="19"/>
      <c r="KBL3" s="19"/>
      <c r="KBP3" s="19"/>
      <c r="KBT3" s="19"/>
      <c r="KBX3" s="19"/>
      <c r="KCB3" s="19"/>
      <c r="KCF3" s="19"/>
      <c r="KCJ3" s="19"/>
      <c r="KCN3" s="19"/>
      <c r="KCR3" s="19"/>
      <c r="KCV3" s="19"/>
      <c r="KCZ3" s="19"/>
      <c r="KDD3" s="19"/>
      <c r="KDH3" s="19"/>
      <c r="KDL3" s="19"/>
      <c r="KDP3" s="19"/>
      <c r="KDT3" s="19"/>
      <c r="KDX3" s="19"/>
      <c r="KEB3" s="19"/>
      <c r="KEF3" s="19"/>
      <c r="KEJ3" s="19"/>
      <c r="KEN3" s="19"/>
      <c r="KER3" s="19"/>
      <c r="KEV3" s="19"/>
      <c r="KEZ3" s="19"/>
      <c r="KFD3" s="19"/>
      <c r="KFH3" s="19"/>
      <c r="KFL3" s="19"/>
      <c r="KFP3" s="19"/>
      <c r="KFT3" s="19"/>
      <c r="KFX3" s="19"/>
      <c r="KGB3" s="19"/>
      <c r="KGF3" s="19"/>
      <c r="KGJ3" s="19"/>
      <c r="KGN3" s="19"/>
      <c r="KGR3" s="19"/>
      <c r="KGV3" s="19"/>
      <c r="KGZ3" s="19"/>
      <c r="KHD3" s="19"/>
      <c r="KHH3" s="19"/>
      <c r="KHL3" s="19"/>
      <c r="KHP3" s="19"/>
      <c r="KHT3" s="19"/>
      <c r="KHX3" s="19"/>
      <c r="KIB3" s="19"/>
      <c r="KIF3" s="19"/>
      <c r="KIJ3" s="19"/>
      <c r="KIN3" s="19"/>
      <c r="KIR3" s="19"/>
      <c r="KIV3" s="19"/>
      <c r="KIZ3" s="19"/>
      <c r="KJD3" s="19"/>
      <c r="KJH3" s="19"/>
      <c r="KJL3" s="19"/>
      <c r="KJP3" s="19"/>
      <c r="KJT3" s="19"/>
      <c r="KJX3" s="19"/>
      <c r="KKB3" s="19"/>
      <c r="KKF3" s="19"/>
      <c r="KKJ3" s="19"/>
      <c r="KKN3" s="19"/>
      <c r="KKR3" s="19"/>
      <c r="KKV3" s="19"/>
      <c r="KKZ3" s="19"/>
      <c r="KLD3" s="19"/>
      <c r="KLH3" s="19"/>
      <c r="KLL3" s="19"/>
      <c r="KLP3" s="19"/>
      <c r="KLT3" s="19"/>
      <c r="KLX3" s="19"/>
      <c r="KMB3" s="19"/>
      <c r="KMF3" s="19"/>
      <c r="KMJ3" s="19"/>
      <c r="KMN3" s="19"/>
      <c r="KMR3" s="19"/>
      <c r="KMV3" s="19"/>
      <c r="KMZ3" s="19"/>
      <c r="KND3" s="19"/>
      <c r="KNH3" s="19"/>
      <c r="KNL3" s="19"/>
      <c r="KNP3" s="19"/>
      <c r="KNT3" s="19"/>
      <c r="KNX3" s="19"/>
      <c r="KOB3" s="19"/>
      <c r="KOF3" s="19"/>
      <c r="KOJ3" s="19"/>
      <c r="KON3" s="19"/>
      <c r="KOR3" s="19"/>
      <c r="KOV3" s="19"/>
      <c r="KOZ3" s="19"/>
      <c r="KPD3" s="19"/>
      <c r="KPH3" s="19"/>
      <c r="KPL3" s="19"/>
      <c r="KPP3" s="19"/>
      <c r="KPT3" s="19"/>
      <c r="KPX3" s="19"/>
      <c r="KQB3" s="19"/>
      <c r="KQF3" s="19"/>
      <c r="KQJ3" s="19"/>
      <c r="KQN3" s="19"/>
      <c r="KQR3" s="19"/>
      <c r="KQV3" s="19"/>
      <c r="KQZ3" s="19"/>
      <c r="KRD3" s="19"/>
      <c r="KRH3" s="19"/>
      <c r="KRL3" s="19"/>
      <c r="KRP3" s="19"/>
      <c r="KRT3" s="19"/>
      <c r="KRX3" s="19"/>
      <c r="KSB3" s="19"/>
      <c r="KSF3" s="19"/>
      <c r="KSJ3" s="19"/>
      <c r="KSN3" s="19"/>
      <c r="KSR3" s="19"/>
      <c r="KSV3" s="19"/>
      <c r="KSZ3" s="19"/>
      <c r="KTD3" s="19"/>
      <c r="KTH3" s="19"/>
      <c r="KTL3" s="19"/>
      <c r="KTP3" s="19"/>
      <c r="KTT3" s="19"/>
      <c r="KTX3" s="19"/>
      <c r="KUB3" s="19"/>
      <c r="KUF3" s="19"/>
      <c r="KUJ3" s="19"/>
      <c r="KUN3" s="19"/>
      <c r="KUR3" s="19"/>
      <c r="KUV3" s="19"/>
      <c r="KUZ3" s="19"/>
      <c r="KVD3" s="19"/>
      <c r="KVH3" s="19"/>
      <c r="KVL3" s="19"/>
      <c r="KVP3" s="19"/>
      <c r="KVT3" s="19"/>
      <c r="KVX3" s="19"/>
      <c r="KWB3" s="19"/>
      <c r="KWF3" s="19"/>
      <c r="KWJ3" s="19"/>
      <c r="KWN3" s="19"/>
      <c r="KWR3" s="19"/>
      <c r="KWV3" s="19"/>
      <c r="KWZ3" s="19"/>
      <c r="KXD3" s="19"/>
      <c r="KXH3" s="19"/>
      <c r="KXL3" s="19"/>
      <c r="KXP3" s="19"/>
      <c r="KXT3" s="19"/>
      <c r="KXX3" s="19"/>
      <c r="KYB3" s="19"/>
      <c r="KYF3" s="19"/>
      <c r="KYJ3" s="19"/>
      <c r="KYN3" s="19"/>
      <c r="KYR3" s="19"/>
      <c r="KYV3" s="19"/>
      <c r="KYZ3" s="19"/>
      <c r="KZD3" s="19"/>
      <c r="KZH3" s="19"/>
      <c r="KZL3" s="19"/>
      <c r="KZP3" s="19"/>
      <c r="KZT3" s="19"/>
      <c r="KZX3" s="19"/>
      <c r="LAB3" s="19"/>
      <c r="LAF3" s="19"/>
      <c r="LAJ3" s="19"/>
      <c r="LAN3" s="19"/>
      <c r="LAR3" s="19"/>
      <c r="LAV3" s="19"/>
      <c r="LAZ3" s="19"/>
      <c r="LBD3" s="19"/>
      <c r="LBH3" s="19"/>
      <c r="LBL3" s="19"/>
      <c r="LBP3" s="19"/>
      <c r="LBT3" s="19"/>
      <c r="LBX3" s="19"/>
      <c r="LCB3" s="19"/>
      <c r="LCF3" s="19"/>
      <c r="LCJ3" s="19"/>
      <c r="LCN3" s="19"/>
      <c r="LCR3" s="19"/>
      <c r="LCV3" s="19"/>
      <c r="LCZ3" s="19"/>
      <c r="LDD3" s="19"/>
      <c r="LDH3" s="19"/>
      <c r="LDL3" s="19"/>
      <c r="LDP3" s="19"/>
      <c r="LDT3" s="19"/>
      <c r="LDX3" s="19"/>
      <c r="LEB3" s="19"/>
      <c r="LEF3" s="19"/>
      <c r="LEJ3" s="19"/>
      <c r="LEN3" s="19"/>
      <c r="LER3" s="19"/>
      <c r="LEV3" s="19"/>
      <c r="LEZ3" s="19"/>
      <c r="LFD3" s="19"/>
      <c r="LFH3" s="19"/>
      <c r="LFL3" s="19"/>
      <c r="LFP3" s="19"/>
      <c r="LFT3" s="19"/>
      <c r="LFX3" s="19"/>
      <c r="LGB3" s="19"/>
      <c r="LGF3" s="19"/>
      <c r="LGJ3" s="19"/>
      <c r="LGN3" s="19"/>
      <c r="LGR3" s="19"/>
      <c r="LGV3" s="19"/>
      <c r="LGZ3" s="19"/>
      <c r="LHD3" s="19"/>
      <c r="LHH3" s="19"/>
      <c r="LHL3" s="19"/>
      <c r="LHP3" s="19"/>
      <c r="LHT3" s="19"/>
      <c r="LHX3" s="19"/>
      <c r="LIB3" s="19"/>
      <c r="LIF3" s="19"/>
      <c r="LIJ3" s="19"/>
      <c r="LIN3" s="19"/>
      <c r="LIR3" s="19"/>
      <c r="LIV3" s="19"/>
      <c r="LIZ3" s="19"/>
      <c r="LJD3" s="19"/>
      <c r="LJH3" s="19"/>
      <c r="LJL3" s="19"/>
      <c r="LJP3" s="19"/>
      <c r="LJT3" s="19"/>
      <c r="LJX3" s="19"/>
      <c r="LKB3" s="19"/>
      <c r="LKF3" s="19"/>
      <c r="LKJ3" s="19"/>
      <c r="LKN3" s="19"/>
      <c r="LKR3" s="19"/>
      <c r="LKV3" s="19"/>
      <c r="LKZ3" s="19"/>
      <c r="LLD3" s="19"/>
      <c r="LLH3" s="19"/>
      <c r="LLL3" s="19"/>
      <c r="LLP3" s="19"/>
      <c r="LLT3" s="19"/>
      <c r="LLX3" s="19"/>
      <c r="LMB3" s="19"/>
      <c r="LMF3" s="19"/>
      <c r="LMJ3" s="19"/>
      <c r="LMN3" s="19"/>
      <c r="LMR3" s="19"/>
      <c r="LMV3" s="19"/>
      <c r="LMZ3" s="19"/>
      <c r="LND3" s="19"/>
      <c r="LNH3" s="19"/>
      <c r="LNL3" s="19"/>
      <c r="LNP3" s="19"/>
      <c r="LNT3" s="19"/>
      <c r="LNX3" s="19"/>
      <c r="LOB3" s="19"/>
      <c r="LOF3" s="19"/>
      <c r="LOJ3" s="19"/>
      <c r="LON3" s="19"/>
      <c r="LOR3" s="19"/>
      <c r="LOV3" s="19"/>
      <c r="LOZ3" s="19"/>
      <c r="LPD3" s="19"/>
      <c r="LPH3" s="19"/>
      <c r="LPL3" s="19"/>
      <c r="LPP3" s="19"/>
      <c r="LPT3" s="19"/>
      <c r="LPX3" s="19"/>
      <c r="LQB3" s="19"/>
      <c r="LQF3" s="19"/>
      <c r="LQJ3" s="19"/>
      <c r="LQN3" s="19"/>
      <c r="LQR3" s="19"/>
      <c r="LQV3" s="19"/>
      <c r="LQZ3" s="19"/>
      <c r="LRD3" s="19"/>
      <c r="LRH3" s="19"/>
      <c r="LRL3" s="19"/>
      <c r="LRP3" s="19"/>
      <c r="LRT3" s="19"/>
      <c r="LRX3" s="19"/>
      <c r="LSB3" s="19"/>
      <c r="LSF3" s="19"/>
      <c r="LSJ3" s="19"/>
      <c r="LSN3" s="19"/>
      <c r="LSR3" s="19"/>
      <c r="LSV3" s="19"/>
      <c r="LSZ3" s="19"/>
      <c r="LTD3" s="19"/>
      <c r="LTH3" s="19"/>
      <c r="LTL3" s="19"/>
      <c r="LTP3" s="19"/>
      <c r="LTT3" s="19"/>
      <c r="LTX3" s="19"/>
      <c r="LUB3" s="19"/>
      <c r="LUF3" s="19"/>
      <c r="LUJ3" s="19"/>
      <c r="LUN3" s="19"/>
      <c r="LUR3" s="19"/>
      <c r="LUV3" s="19"/>
      <c r="LUZ3" s="19"/>
      <c r="LVD3" s="19"/>
      <c r="LVH3" s="19"/>
      <c r="LVL3" s="19"/>
      <c r="LVP3" s="19"/>
      <c r="LVT3" s="19"/>
      <c r="LVX3" s="19"/>
      <c r="LWB3" s="19"/>
      <c r="LWF3" s="19"/>
      <c r="LWJ3" s="19"/>
      <c r="LWN3" s="19"/>
      <c r="LWR3" s="19"/>
      <c r="LWV3" s="19"/>
      <c r="LWZ3" s="19"/>
      <c r="LXD3" s="19"/>
      <c r="LXH3" s="19"/>
      <c r="LXL3" s="19"/>
      <c r="LXP3" s="19"/>
      <c r="LXT3" s="19"/>
      <c r="LXX3" s="19"/>
      <c r="LYB3" s="19"/>
      <c r="LYF3" s="19"/>
      <c r="LYJ3" s="19"/>
      <c r="LYN3" s="19"/>
      <c r="LYR3" s="19"/>
      <c r="LYV3" s="19"/>
      <c r="LYZ3" s="19"/>
      <c r="LZD3" s="19"/>
      <c r="LZH3" s="19"/>
      <c r="LZL3" s="19"/>
      <c r="LZP3" s="19"/>
      <c r="LZT3" s="19"/>
      <c r="LZX3" s="19"/>
      <c r="MAB3" s="19"/>
      <c r="MAF3" s="19"/>
      <c r="MAJ3" s="19"/>
      <c r="MAN3" s="19"/>
      <c r="MAR3" s="19"/>
      <c r="MAV3" s="19"/>
      <c r="MAZ3" s="19"/>
      <c r="MBD3" s="19"/>
      <c r="MBH3" s="19"/>
      <c r="MBL3" s="19"/>
      <c r="MBP3" s="19"/>
      <c r="MBT3" s="19"/>
      <c r="MBX3" s="19"/>
      <c r="MCB3" s="19"/>
      <c r="MCF3" s="19"/>
      <c r="MCJ3" s="19"/>
      <c r="MCN3" s="19"/>
      <c r="MCR3" s="19"/>
      <c r="MCV3" s="19"/>
      <c r="MCZ3" s="19"/>
      <c r="MDD3" s="19"/>
      <c r="MDH3" s="19"/>
      <c r="MDL3" s="19"/>
      <c r="MDP3" s="19"/>
      <c r="MDT3" s="19"/>
      <c r="MDX3" s="19"/>
      <c r="MEB3" s="19"/>
      <c r="MEF3" s="19"/>
      <c r="MEJ3" s="19"/>
      <c r="MEN3" s="19"/>
      <c r="MER3" s="19"/>
      <c r="MEV3" s="19"/>
      <c r="MEZ3" s="19"/>
      <c r="MFD3" s="19"/>
      <c r="MFH3" s="19"/>
      <c r="MFL3" s="19"/>
      <c r="MFP3" s="19"/>
      <c r="MFT3" s="19"/>
      <c r="MFX3" s="19"/>
      <c r="MGB3" s="19"/>
      <c r="MGF3" s="19"/>
      <c r="MGJ3" s="19"/>
      <c r="MGN3" s="19"/>
      <c r="MGR3" s="19"/>
      <c r="MGV3" s="19"/>
      <c r="MGZ3" s="19"/>
      <c r="MHD3" s="19"/>
      <c r="MHH3" s="19"/>
      <c r="MHL3" s="19"/>
      <c r="MHP3" s="19"/>
      <c r="MHT3" s="19"/>
      <c r="MHX3" s="19"/>
      <c r="MIB3" s="19"/>
      <c r="MIF3" s="19"/>
      <c r="MIJ3" s="19"/>
      <c r="MIN3" s="19"/>
      <c r="MIR3" s="19"/>
      <c r="MIV3" s="19"/>
      <c r="MIZ3" s="19"/>
      <c r="MJD3" s="19"/>
      <c r="MJH3" s="19"/>
      <c r="MJL3" s="19"/>
      <c r="MJP3" s="19"/>
      <c r="MJT3" s="19"/>
      <c r="MJX3" s="19"/>
      <c r="MKB3" s="19"/>
      <c r="MKF3" s="19"/>
      <c r="MKJ3" s="19"/>
      <c r="MKN3" s="19"/>
      <c r="MKR3" s="19"/>
      <c r="MKV3" s="19"/>
      <c r="MKZ3" s="19"/>
      <c r="MLD3" s="19"/>
      <c r="MLH3" s="19"/>
      <c r="MLL3" s="19"/>
      <c r="MLP3" s="19"/>
      <c r="MLT3" s="19"/>
      <c r="MLX3" s="19"/>
      <c r="MMB3" s="19"/>
      <c r="MMF3" s="19"/>
      <c r="MMJ3" s="19"/>
      <c r="MMN3" s="19"/>
      <c r="MMR3" s="19"/>
      <c r="MMV3" s="19"/>
      <c r="MMZ3" s="19"/>
      <c r="MND3" s="19"/>
      <c r="MNH3" s="19"/>
      <c r="MNL3" s="19"/>
      <c r="MNP3" s="19"/>
      <c r="MNT3" s="19"/>
      <c r="MNX3" s="19"/>
      <c r="MOB3" s="19"/>
      <c r="MOF3" s="19"/>
      <c r="MOJ3" s="19"/>
      <c r="MON3" s="19"/>
      <c r="MOR3" s="19"/>
      <c r="MOV3" s="19"/>
      <c r="MOZ3" s="19"/>
      <c r="MPD3" s="19"/>
      <c r="MPH3" s="19"/>
      <c r="MPL3" s="19"/>
      <c r="MPP3" s="19"/>
      <c r="MPT3" s="19"/>
      <c r="MPX3" s="19"/>
      <c r="MQB3" s="19"/>
      <c r="MQF3" s="19"/>
      <c r="MQJ3" s="19"/>
      <c r="MQN3" s="19"/>
      <c r="MQR3" s="19"/>
      <c r="MQV3" s="19"/>
      <c r="MQZ3" s="19"/>
      <c r="MRD3" s="19"/>
      <c r="MRH3" s="19"/>
      <c r="MRL3" s="19"/>
      <c r="MRP3" s="19"/>
      <c r="MRT3" s="19"/>
      <c r="MRX3" s="19"/>
      <c r="MSB3" s="19"/>
      <c r="MSF3" s="19"/>
      <c r="MSJ3" s="19"/>
      <c r="MSN3" s="19"/>
      <c r="MSR3" s="19"/>
      <c r="MSV3" s="19"/>
      <c r="MSZ3" s="19"/>
      <c r="MTD3" s="19"/>
      <c r="MTH3" s="19"/>
      <c r="MTL3" s="19"/>
      <c r="MTP3" s="19"/>
      <c r="MTT3" s="19"/>
      <c r="MTX3" s="19"/>
      <c r="MUB3" s="19"/>
      <c r="MUF3" s="19"/>
      <c r="MUJ3" s="19"/>
      <c r="MUN3" s="19"/>
      <c r="MUR3" s="19"/>
      <c r="MUV3" s="19"/>
      <c r="MUZ3" s="19"/>
      <c r="MVD3" s="19"/>
      <c r="MVH3" s="19"/>
      <c r="MVL3" s="19"/>
      <c r="MVP3" s="19"/>
      <c r="MVT3" s="19"/>
      <c r="MVX3" s="19"/>
      <c r="MWB3" s="19"/>
      <c r="MWF3" s="19"/>
      <c r="MWJ3" s="19"/>
      <c r="MWN3" s="19"/>
      <c r="MWR3" s="19"/>
      <c r="MWV3" s="19"/>
      <c r="MWZ3" s="19"/>
      <c r="MXD3" s="19"/>
      <c r="MXH3" s="19"/>
      <c r="MXL3" s="19"/>
      <c r="MXP3" s="19"/>
      <c r="MXT3" s="19"/>
      <c r="MXX3" s="19"/>
      <c r="MYB3" s="19"/>
      <c r="MYF3" s="19"/>
      <c r="MYJ3" s="19"/>
      <c r="MYN3" s="19"/>
      <c r="MYR3" s="19"/>
      <c r="MYV3" s="19"/>
      <c r="MYZ3" s="19"/>
      <c r="MZD3" s="19"/>
      <c r="MZH3" s="19"/>
      <c r="MZL3" s="19"/>
      <c r="MZP3" s="19"/>
      <c r="MZT3" s="19"/>
      <c r="MZX3" s="19"/>
      <c r="NAB3" s="19"/>
      <c r="NAF3" s="19"/>
      <c r="NAJ3" s="19"/>
      <c r="NAN3" s="19"/>
      <c r="NAR3" s="19"/>
      <c r="NAV3" s="19"/>
      <c r="NAZ3" s="19"/>
      <c r="NBD3" s="19"/>
      <c r="NBH3" s="19"/>
      <c r="NBL3" s="19"/>
      <c r="NBP3" s="19"/>
      <c r="NBT3" s="19"/>
      <c r="NBX3" s="19"/>
      <c r="NCB3" s="19"/>
      <c r="NCF3" s="19"/>
      <c r="NCJ3" s="19"/>
      <c r="NCN3" s="19"/>
      <c r="NCR3" s="19"/>
      <c r="NCV3" s="19"/>
      <c r="NCZ3" s="19"/>
      <c r="NDD3" s="19"/>
      <c r="NDH3" s="19"/>
      <c r="NDL3" s="19"/>
      <c r="NDP3" s="19"/>
      <c r="NDT3" s="19"/>
      <c r="NDX3" s="19"/>
      <c r="NEB3" s="19"/>
      <c r="NEF3" s="19"/>
      <c r="NEJ3" s="19"/>
      <c r="NEN3" s="19"/>
      <c r="NER3" s="19"/>
      <c r="NEV3" s="19"/>
      <c r="NEZ3" s="19"/>
      <c r="NFD3" s="19"/>
      <c r="NFH3" s="19"/>
      <c r="NFL3" s="19"/>
      <c r="NFP3" s="19"/>
      <c r="NFT3" s="19"/>
      <c r="NFX3" s="19"/>
      <c r="NGB3" s="19"/>
      <c r="NGF3" s="19"/>
      <c r="NGJ3" s="19"/>
      <c r="NGN3" s="19"/>
      <c r="NGR3" s="19"/>
      <c r="NGV3" s="19"/>
      <c r="NGZ3" s="19"/>
      <c r="NHD3" s="19"/>
      <c r="NHH3" s="19"/>
      <c r="NHL3" s="19"/>
      <c r="NHP3" s="19"/>
      <c r="NHT3" s="19"/>
      <c r="NHX3" s="19"/>
      <c r="NIB3" s="19"/>
      <c r="NIF3" s="19"/>
      <c r="NIJ3" s="19"/>
      <c r="NIN3" s="19"/>
      <c r="NIR3" s="19"/>
      <c r="NIV3" s="19"/>
      <c r="NIZ3" s="19"/>
      <c r="NJD3" s="19"/>
      <c r="NJH3" s="19"/>
      <c r="NJL3" s="19"/>
      <c r="NJP3" s="19"/>
      <c r="NJT3" s="19"/>
      <c r="NJX3" s="19"/>
      <c r="NKB3" s="19"/>
      <c r="NKF3" s="19"/>
      <c r="NKJ3" s="19"/>
      <c r="NKN3" s="19"/>
      <c r="NKR3" s="19"/>
      <c r="NKV3" s="19"/>
      <c r="NKZ3" s="19"/>
      <c r="NLD3" s="19"/>
      <c r="NLH3" s="19"/>
      <c r="NLL3" s="19"/>
      <c r="NLP3" s="19"/>
      <c r="NLT3" s="19"/>
      <c r="NLX3" s="19"/>
      <c r="NMB3" s="19"/>
      <c r="NMF3" s="19"/>
      <c r="NMJ3" s="19"/>
      <c r="NMN3" s="19"/>
      <c r="NMR3" s="19"/>
      <c r="NMV3" s="19"/>
      <c r="NMZ3" s="19"/>
      <c r="NND3" s="19"/>
      <c r="NNH3" s="19"/>
      <c r="NNL3" s="19"/>
      <c r="NNP3" s="19"/>
      <c r="NNT3" s="19"/>
      <c r="NNX3" s="19"/>
      <c r="NOB3" s="19"/>
      <c r="NOF3" s="19"/>
      <c r="NOJ3" s="19"/>
      <c r="NON3" s="19"/>
      <c r="NOR3" s="19"/>
      <c r="NOV3" s="19"/>
      <c r="NOZ3" s="19"/>
      <c r="NPD3" s="19"/>
      <c r="NPH3" s="19"/>
      <c r="NPL3" s="19"/>
      <c r="NPP3" s="19"/>
      <c r="NPT3" s="19"/>
      <c r="NPX3" s="19"/>
      <c r="NQB3" s="19"/>
      <c r="NQF3" s="19"/>
      <c r="NQJ3" s="19"/>
      <c r="NQN3" s="19"/>
      <c r="NQR3" s="19"/>
      <c r="NQV3" s="19"/>
      <c r="NQZ3" s="19"/>
      <c r="NRD3" s="19"/>
      <c r="NRH3" s="19"/>
      <c r="NRL3" s="19"/>
      <c r="NRP3" s="19"/>
      <c r="NRT3" s="19"/>
      <c r="NRX3" s="19"/>
      <c r="NSB3" s="19"/>
      <c r="NSF3" s="19"/>
      <c r="NSJ3" s="19"/>
      <c r="NSN3" s="19"/>
      <c r="NSR3" s="19"/>
      <c r="NSV3" s="19"/>
      <c r="NSZ3" s="19"/>
      <c r="NTD3" s="19"/>
      <c r="NTH3" s="19"/>
      <c r="NTL3" s="19"/>
      <c r="NTP3" s="19"/>
      <c r="NTT3" s="19"/>
      <c r="NTX3" s="19"/>
      <c r="NUB3" s="19"/>
      <c r="NUF3" s="19"/>
      <c r="NUJ3" s="19"/>
      <c r="NUN3" s="19"/>
      <c r="NUR3" s="19"/>
      <c r="NUV3" s="19"/>
      <c r="NUZ3" s="19"/>
      <c r="NVD3" s="19"/>
      <c r="NVH3" s="19"/>
      <c r="NVL3" s="19"/>
      <c r="NVP3" s="19"/>
      <c r="NVT3" s="19"/>
      <c r="NVX3" s="19"/>
      <c r="NWB3" s="19"/>
      <c r="NWF3" s="19"/>
      <c r="NWJ3" s="19"/>
      <c r="NWN3" s="19"/>
      <c r="NWR3" s="19"/>
      <c r="NWV3" s="19"/>
      <c r="NWZ3" s="19"/>
      <c r="NXD3" s="19"/>
      <c r="NXH3" s="19"/>
      <c r="NXL3" s="19"/>
      <c r="NXP3" s="19"/>
      <c r="NXT3" s="19"/>
      <c r="NXX3" s="19"/>
      <c r="NYB3" s="19"/>
      <c r="NYF3" s="19"/>
      <c r="NYJ3" s="19"/>
      <c r="NYN3" s="19"/>
      <c r="NYR3" s="19"/>
      <c r="NYV3" s="19"/>
      <c r="NYZ3" s="19"/>
      <c r="NZD3" s="19"/>
      <c r="NZH3" s="19"/>
      <c r="NZL3" s="19"/>
      <c r="NZP3" s="19"/>
      <c r="NZT3" s="19"/>
      <c r="NZX3" s="19"/>
      <c r="OAB3" s="19"/>
      <c r="OAF3" s="19"/>
      <c r="OAJ3" s="19"/>
      <c r="OAN3" s="19"/>
      <c r="OAR3" s="19"/>
      <c r="OAV3" s="19"/>
      <c r="OAZ3" s="19"/>
      <c r="OBD3" s="19"/>
      <c r="OBH3" s="19"/>
      <c r="OBL3" s="19"/>
      <c r="OBP3" s="19"/>
      <c r="OBT3" s="19"/>
      <c r="OBX3" s="19"/>
      <c r="OCB3" s="19"/>
      <c r="OCF3" s="19"/>
      <c r="OCJ3" s="19"/>
      <c r="OCN3" s="19"/>
      <c r="OCR3" s="19"/>
      <c r="OCV3" s="19"/>
      <c r="OCZ3" s="19"/>
      <c r="ODD3" s="19"/>
      <c r="ODH3" s="19"/>
      <c r="ODL3" s="19"/>
      <c r="ODP3" s="19"/>
      <c r="ODT3" s="19"/>
      <c r="ODX3" s="19"/>
      <c r="OEB3" s="19"/>
      <c r="OEF3" s="19"/>
      <c r="OEJ3" s="19"/>
      <c r="OEN3" s="19"/>
      <c r="OER3" s="19"/>
      <c r="OEV3" s="19"/>
      <c r="OEZ3" s="19"/>
      <c r="OFD3" s="19"/>
      <c r="OFH3" s="19"/>
      <c r="OFL3" s="19"/>
      <c r="OFP3" s="19"/>
      <c r="OFT3" s="19"/>
      <c r="OFX3" s="19"/>
      <c r="OGB3" s="19"/>
      <c r="OGF3" s="19"/>
      <c r="OGJ3" s="19"/>
      <c r="OGN3" s="19"/>
      <c r="OGR3" s="19"/>
      <c r="OGV3" s="19"/>
      <c r="OGZ3" s="19"/>
      <c r="OHD3" s="19"/>
      <c r="OHH3" s="19"/>
      <c r="OHL3" s="19"/>
      <c r="OHP3" s="19"/>
      <c r="OHT3" s="19"/>
      <c r="OHX3" s="19"/>
      <c r="OIB3" s="19"/>
      <c r="OIF3" s="19"/>
      <c r="OIJ3" s="19"/>
      <c r="OIN3" s="19"/>
      <c r="OIR3" s="19"/>
      <c r="OIV3" s="19"/>
      <c r="OIZ3" s="19"/>
      <c r="OJD3" s="19"/>
      <c r="OJH3" s="19"/>
      <c r="OJL3" s="19"/>
      <c r="OJP3" s="19"/>
      <c r="OJT3" s="19"/>
      <c r="OJX3" s="19"/>
      <c r="OKB3" s="19"/>
      <c r="OKF3" s="19"/>
      <c r="OKJ3" s="19"/>
      <c r="OKN3" s="19"/>
      <c r="OKR3" s="19"/>
      <c r="OKV3" s="19"/>
      <c r="OKZ3" s="19"/>
      <c r="OLD3" s="19"/>
      <c r="OLH3" s="19"/>
      <c r="OLL3" s="19"/>
      <c r="OLP3" s="19"/>
      <c r="OLT3" s="19"/>
      <c r="OLX3" s="19"/>
      <c r="OMB3" s="19"/>
      <c r="OMF3" s="19"/>
      <c r="OMJ3" s="19"/>
      <c r="OMN3" s="19"/>
      <c r="OMR3" s="19"/>
      <c r="OMV3" s="19"/>
      <c r="OMZ3" s="19"/>
      <c r="OND3" s="19"/>
      <c r="ONH3" s="19"/>
      <c r="ONL3" s="19"/>
      <c r="ONP3" s="19"/>
      <c r="ONT3" s="19"/>
      <c r="ONX3" s="19"/>
      <c r="OOB3" s="19"/>
      <c r="OOF3" s="19"/>
      <c r="OOJ3" s="19"/>
      <c r="OON3" s="19"/>
      <c r="OOR3" s="19"/>
      <c r="OOV3" s="19"/>
      <c r="OOZ3" s="19"/>
      <c r="OPD3" s="19"/>
      <c r="OPH3" s="19"/>
      <c r="OPL3" s="19"/>
      <c r="OPP3" s="19"/>
      <c r="OPT3" s="19"/>
      <c r="OPX3" s="19"/>
      <c r="OQB3" s="19"/>
      <c r="OQF3" s="19"/>
      <c r="OQJ3" s="19"/>
      <c r="OQN3" s="19"/>
      <c r="OQR3" s="19"/>
      <c r="OQV3" s="19"/>
      <c r="OQZ3" s="19"/>
      <c r="ORD3" s="19"/>
      <c r="ORH3" s="19"/>
      <c r="ORL3" s="19"/>
      <c r="ORP3" s="19"/>
      <c r="ORT3" s="19"/>
      <c r="ORX3" s="19"/>
      <c r="OSB3" s="19"/>
      <c r="OSF3" s="19"/>
      <c r="OSJ3" s="19"/>
      <c r="OSN3" s="19"/>
      <c r="OSR3" s="19"/>
      <c r="OSV3" s="19"/>
      <c r="OSZ3" s="19"/>
      <c r="OTD3" s="19"/>
      <c r="OTH3" s="19"/>
      <c r="OTL3" s="19"/>
      <c r="OTP3" s="19"/>
      <c r="OTT3" s="19"/>
      <c r="OTX3" s="19"/>
      <c r="OUB3" s="19"/>
      <c r="OUF3" s="19"/>
      <c r="OUJ3" s="19"/>
      <c r="OUN3" s="19"/>
      <c r="OUR3" s="19"/>
      <c r="OUV3" s="19"/>
      <c r="OUZ3" s="19"/>
      <c r="OVD3" s="19"/>
      <c r="OVH3" s="19"/>
      <c r="OVL3" s="19"/>
      <c r="OVP3" s="19"/>
      <c r="OVT3" s="19"/>
      <c r="OVX3" s="19"/>
      <c r="OWB3" s="19"/>
      <c r="OWF3" s="19"/>
      <c r="OWJ3" s="19"/>
      <c r="OWN3" s="19"/>
      <c r="OWR3" s="19"/>
      <c r="OWV3" s="19"/>
      <c r="OWZ3" s="19"/>
      <c r="OXD3" s="19"/>
      <c r="OXH3" s="19"/>
      <c r="OXL3" s="19"/>
      <c r="OXP3" s="19"/>
      <c r="OXT3" s="19"/>
      <c r="OXX3" s="19"/>
      <c r="OYB3" s="19"/>
      <c r="OYF3" s="19"/>
      <c r="OYJ3" s="19"/>
      <c r="OYN3" s="19"/>
      <c r="OYR3" s="19"/>
      <c r="OYV3" s="19"/>
      <c r="OYZ3" s="19"/>
      <c r="OZD3" s="19"/>
      <c r="OZH3" s="19"/>
      <c r="OZL3" s="19"/>
      <c r="OZP3" s="19"/>
      <c r="OZT3" s="19"/>
      <c r="OZX3" s="19"/>
      <c r="PAB3" s="19"/>
      <c r="PAF3" s="19"/>
      <c r="PAJ3" s="19"/>
      <c r="PAN3" s="19"/>
      <c r="PAR3" s="19"/>
      <c r="PAV3" s="19"/>
      <c r="PAZ3" s="19"/>
      <c r="PBD3" s="19"/>
      <c r="PBH3" s="19"/>
      <c r="PBL3" s="19"/>
      <c r="PBP3" s="19"/>
      <c r="PBT3" s="19"/>
      <c r="PBX3" s="19"/>
      <c r="PCB3" s="19"/>
      <c r="PCF3" s="19"/>
      <c r="PCJ3" s="19"/>
      <c r="PCN3" s="19"/>
      <c r="PCR3" s="19"/>
      <c r="PCV3" s="19"/>
      <c r="PCZ3" s="19"/>
      <c r="PDD3" s="19"/>
      <c r="PDH3" s="19"/>
      <c r="PDL3" s="19"/>
      <c r="PDP3" s="19"/>
      <c r="PDT3" s="19"/>
      <c r="PDX3" s="19"/>
      <c r="PEB3" s="19"/>
      <c r="PEF3" s="19"/>
      <c r="PEJ3" s="19"/>
      <c r="PEN3" s="19"/>
      <c r="PER3" s="19"/>
      <c r="PEV3" s="19"/>
      <c r="PEZ3" s="19"/>
      <c r="PFD3" s="19"/>
      <c r="PFH3" s="19"/>
      <c r="PFL3" s="19"/>
      <c r="PFP3" s="19"/>
      <c r="PFT3" s="19"/>
      <c r="PFX3" s="19"/>
      <c r="PGB3" s="19"/>
      <c r="PGF3" s="19"/>
      <c r="PGJ3" s="19"/>
      <c r="PGN3" s="19"/>
      <c r="PGR3" s="19"/>
      <c r="PGV3" s="19"/>
      <c r="PGZ3" s="19"/>
      <c r="PHD3" s="19"/>
      <c r="PHH3" s="19"/>
      <c r="PHL3" s="19"/>
      <c r="PHP3" s="19"/>
      <c r="PHT3" s="19"/>
      <c r="PHX3" s="19"/>
      <c r="PIB3" s="19"/>
      <c r="PIF3" s="19"/>
      <c r="PIJ3" s="19"/>
      <c r="PIN3" s="19"/>
      <c r="PIR3" s="19"/>
      <c r="PIV3" s="19"/>
      <c r="PIZ3" s="19"/>
      <c r="PJD3" s="19"/>
      <c r="PJH3" s="19"/>
      <c r="PJL3" s="19"/>
      <c r="PJP3" s="19"/>
      <c r="PJT3" s="19"/>
      <c r="PJX3" s="19"/>
      <c r="PKB3" s="19"/>
      <c r="PKF3" s="19"/>
      <c r="PKJ3" s="19"/>
      <c r="PKN3" s="19"/>
      <c r="PKR3" s="19"/>
      <c r="PKV3" s="19"/>
      <c r="PKZ3" s="19"/>
      <c r="PLD3" s="19"/>
      <c r="PLH3" s="19"/>
      <c r="PLL3" s="19"/>
      <c r="PLP3" s="19"/>
      <c r="PLT3" s="19"/>
      <c r="PLX3" s="19"/>
      <c r="PMB3" s="19"/>
      <c r="PMF3" s="19"/>
      <c r="PMJ3" s="19"/>
      <c r="PMN3" s="19"/>
      <c r="PMR3" s="19"/>
      <c r="PMV3" s="19"/>
      <c r="PMZ3" s="19"/>
      <c r="PND3" s="19"/>
      <c r="PNH3" s="19"/>
      <c r="PNL3" s="19"/>
      <c r="PNP3" s="19"/>
      <c r="PNT3" s="19"/>
      <c r="PNX3" s="19"/>
      <c r="POB3" s="19"/>
      <c r="POF3" s="19"/>
      <c r="POJ3" s="19"/>
      <c r="PON3" s="19"/>
      <c r="POR3" s="19"/>
      <c r="POV3" s="19"/>
      <c r="POZ3" s="19"/>
      <c r="PPD3" s="19"/>
      <c r="PPH3" s="19"/>
      <c r="PPL3" s="19"/>
      <c r="PPP3" s="19"/>
      <c r="PPT3" s="19"/>
      <c r="PPX3" s="19"/>
      <c r="PQB3" s="19"/>
      <c r="PQF3" s="19"/>
      <c r="PQJ3" s="19"/>
      <c r="PQN3" s="19"/>
      <c r="PQR3" s="19"/>
      <c r="PQV3" s="19"/>
      <c r="PQZ3" s="19"/>
      <c r="PRD3" s="19"/>
      <c r="PRH3" s="19"/>
      <c r="PRL3" s="19"/>
      <c r="PRP3" s="19"/>
      <c r="PRT3" s="19"/>
      <c r="PRX3" s="19"/>
      <c r="PSB3" s="19"/>
      <c r="PSF3" s="19"/>
      <c r="PSJ3" s="19"/>
      <c r="PSN3" s="19"/>
      <c r="PSR3" s="19"/>
      <c r="PSV3" s="19"/>
      <c r="PSZ3" s="19"/>
      <c r="PTD3" s="19"/>
      <c r="PTH3" s="19"/>
      <c r="PTL3" s="19"/>
      <c r="PTP3" s="19"/>
      <c r="PTT3" s="19"/>
      <c r="PTX3" s="19"/>
      <c r="PUB3" s="19"/>
      <c r="PUF3" s="19"/>
      <c r="PUJ3" s="19"/>
      <c r="PUN3" s="19"/>
      <c r="PUR3" s="19"/>
      <c r="PUV3" s="19"/>
      <c r="PUZ3" s="19"/>
      <c r="PVD3" s="19"/>
      <c r="PVH3" s="19"/>
      <c r="PVL3" s="19"/>
      <c r="PVP3" s="19"/>
      <c r="PVT3" s="19"/>
      <c r="PVX3" s="19"/>
      <c r="PWB3" s="19"/>
      <c r="PWF3" s="19"/>
      <c r="PWJ3" s="19"/>
      <c r="PWN3" s="19"/>
      <c r="PWR3" s="19"/>
      <c r="PWV3" s="19"/>
      <c r="PWZ3" s="19"/>
      <c r="PXD3" s="19"/>
      <c r="PXH3" s="19"/>
      <c r="PXL3" s="19"/>
      <c r="PXP3" s="19"/>
      <c r="PXT3" s="19"/>
      <c r="PXX3" s="19"/>
      <c r="PYB3" s="19"/>
      <c r="PYF3" s="19"/>
      <c r="PYJ3" s="19"/>
      <c r="PYN3" s="19"/>
      <c r="PYR3" s="19"/>
      <c r="PYV3" s="19"/>
      <c r="PYZ3" s="19"/>
      <c r="PZD3" s="19"/>
      <c r="PZH3" s="19"/>
      <c r="PZL3" s="19"/>
      <c r="PZP3" s="19"/>
      <c r="PZT3" s="19"/>
      <c r="PZX3" s="19"/>
      <c r="QAB3" s="19"/>
      <c r="QAF3" s="19"/>
      <c r="QAJ3" s="19"/>
      <c r="QAN3" s="19"/>
      <c r="QAR3" s="19"/>
      <c r="QAV3" s="19"/>
      <c r="QAZ3" s="19"/>
      <c r="QBD3" s="19"/>
      <c r="QBH3" s="19"/>
      <c r="QBL3" s="19"/>
      <c r="QBP3" s="19"/>
      <c r="QBT3" s="19"/>
      <c r="QBX3" s="19"/>
      <c r="QCB3" s="19"/>
      <c r="QCF3" s="19"/>
      <c r="QCJ3" s="19"/>
      <c r="QCN3" s="19"/>
      <c r="QCR3" s="19"/>
      <c r="QCV3" s="19"/>
      <c r="QCZ3" s="19"/>
      <c r="QDD3" s="19"/>
      <c r="QDH3" s="19"/>
      <c r="QDL3" s="19"/>
      <c r="QDP3" s="19"/>
      <c r="QDT3" s="19"/>
      <c r="QDX3" s="19"/>
      <c r="QEB3" s="19"/>
      <c r="QEF3" s="19"/>
      <c r="QEJ3" s="19"/>
      <c r="QEN3" s="19"/>
      <c r="QER3" s="19"/>
      <c r="QEV3" s="19"/>
      <c r="QEZ3" s="19"/>
      <c r="QFD3" s="19"/>
      <c r="QFH3" s="19"/>
      <c r="QFL3" s="19"/>
      <c r="QFP3" s="19"/>
      <c r="QFT3" s="19"/>
      <c r="QFX3" s="19"/>
      <c r="QGB3" s="19"/>
      <c r="QGF3" s="19"/>
      <c r="QGJ3" s="19"/>
      <c r="QGN3" s="19"/>
      <c r="QGR3" s="19"/>
      <c r="QGV3" s="19"/>
      <c r="QGZ3" s="19"/>
      <c r="QHD3" s="19"/>
      <c r="QHH3" s="19"/>
      <c r="QHL3" s="19"/>
      <c r="QHP3" s="19"/>
      <c r="QHT3" s="19"/>
      <c r="QHX3" s="19"/>
      <c r="QIB3" s="19"/>
      <c r="QIF3" s="19"/>
      <c r="QIJ3" s="19"/>
      <c r="QIN3" s="19"/>
      <c r="QIR3" s="19"/>
      <c r="QIV3" s="19"/>
      <c r="QIZ3" s="19"/>
      <c r="QJD3" s="19"/>
      <c r="QJH3" s="19"/>
      <c r="QJL3" s="19"/>
      <c r="QJP3" s="19"/>
      <c r="QJT3" s="19"/>
      <c r="QJX3" s="19"/>
      <c r="QKB3" s="19"/>
      <c r="QKF3" s="19"/>
      <c r="QKJ3" s="19"/>
      <c r="QKN3" s="19"/>
      <c r="QKR3" s="19"/>
      <c r="QKV3" s="19"/>
      <c r="QKZ3" s="19"/>
      <c r="QLD3" s="19"/>
      <c r="QLH3" s="19"/>
      <c r="QLL3" s="19"/>
      <c r="QLP3" s="19"/>
      <c r="QLT3" s="19"/>
      <c r="QLX3" s="19"/>
      <c r="QMB3" s="19"/>
      <c r="QMF3" s="19"/>
      <c r="QMJ3" s="19"/>
      <c r="QMN3" s="19"/>
      <c r="QMR3" s="19"/>
      <c r="QMV3" s="19"/>
      <c r="QMZ3" s="19"/>
      <c r="QND3" s="19"/>
      <c r="QNH3" s="19"/>
      <c r="QNL3" s="19"/>
      <c r="QNP3" s="19"/>
      <c r="QNT3" s="19"/>
      <c r="QNX3" s="19"/>
      <c r="QOB3" s="19"/>
      <c r="QOF3" s="19"/>
      <c r="QOJ3" s="19"/>
      <c r="QON3" s="19"/>
      <c r="QOR3" s="19"/>
      <c r="QOV3" s="19"/>
      <c r="QOZ3" s="19"/>
      <c r="QPD3" s="19"/>
      <c r="QPH3" s="19"/>
      <c r="QPL3" s="19"/>
      <c r="QPP3" s="19"/>
      <c r="QPT3" s="19"/>
      <c r="QPX3" s="19"/>
      <c r="QQB3" s="19"/>
      <c r="QQF3" s="19"/>
      <c r="QQJ3" s="19"/>
      <c r="QQN3" s="19"/>
      <c r="QQR3" s="19"/>
      <c r="QQV3" s="19"/>
      <c r="QQZ3" s="19"/>
      <c r="QRD3" s="19"/>
      <c r="QRH3" s="19"/>
      <c r="QRL3" s="19"/>
      <c r="QRP3" s="19"/>
      <c r="QRT3" s="19"/>
      <c r="QRX3" s="19"/>
      <c r="QSB3" s="19"/>
      <c r="QSF3" s="19"/>
      <c r="QSJ3" s="19"/>
      <c r="QSN3" s="19"/>
      <c r="QSR3" s="19"/>
      <c r="QSV3" s="19"/>
      <c r="QSZ3" s="19"/>
      <c r="QTD3" s="19"/>
      <c r="QTH3" s="19"/>
      <c r="QTL3" s="19"/>
      <c r="QTP3" s="19"/>
      <c r="QTT3" s="19"/>
      <c r="QTX3" s="19"/>
      <c r="QUB3" s="19"/>
      <c r="QUF3" s="19"/>
      <c r="QUJ3" s="19"/>
      <c r="QUN3" s="19"/>
      <c r="QUR3" s="19"/>
      <c r="QUV3" s="19"/>
      <c r="QUZ3" s="19"/>
      <c r="QVD3" s="19"/>
      <c r="QVH3" s="19"/>
      <c r="QVL3" s="19"/>
      <c r="QVP3" s="19"/>
      <c r="QVT3" s="19"/>
      <c r="QVX3" s="19"/>
      <c r="QWB3" s="19"/>
      <c r="QWF3" s="19"/>
      <c r="QWJ3" s="19"/>
      <c r="QWN3" s="19"/>
      <c r="QWR3" s="19"/>
      <c r="QWV3" s="19"/>
      <c r="QWZ3" s="19"/>
      <c r="QXD3" s="19"/>
      <c r="QXH3" s="19"/>
      <c r="QXL3" s="19"/>
      <c r="QXP3" s="19"/>
      <c r="QXT3" s="19"/>
      <c r="QXX3" s="19"/>
      <c r="QYB3" s="19"/>
      <c r="QYF3" s="19"/>
      <c r="QYJ3" s="19"/>
      <c r="QYN3" s="19"/>
      <c r="QYR3" s="19"/>
      <c r="QYV3" s="19"/>
      <c r="QYZ3" s="19"/>
      <c r="QZD3" s="19"/>
      <c r="QZH3" s="19"/>
      <c r="QZL3" s="19"/>
      <c r="QZP3" s="19"/>
      <c r="QZT3" s="19"/>
      <c r="QZX3" s="19"/>
      <c r="RAB3" s="19"/>
      <c r="RAF3" s="19"/>
      <c r="RAJ3" s="19"/>
      <c r="RAN3" s="19"/>
      <c r="RAR3" s="19"/>
      <c r="RAV3" s="19"/>
      <c r="RAZ3" s="19"/>
      <c r="RBD3" s="19"/>
      <c r="RBH3" s="19"/>
      <c r="RBL3" s="19"/>
      <c r="RBP3" s="19"/>
      <c r="RBT3" s="19"/>
      <c r="RBX3" s="19"/>
      <c r="RCB3" s="19"/>
      <c r="RCF3" s="19"/>
      <c r="RCJ3" s="19"/>
      <c r="RCN3" s="19"/>
      <c r="RCR3" s="19"/>
      <c r="RCV3" s="19"/>
      <c r="RCZ3" s="19"/>
      <c r="RDD3" s="19"/>
      <c r="RDH3" s="19"/>
      <c r="RDL3" s="19"/>
      <c r="RDP3" s="19"/>
      <c r="RDT3" s="19"/>
      <c r="RDX3" s="19"/>
      <c r="REB3" s="19"/>
      <c r="REF3" s="19"/>
      <c r="REJ3" s="19"/>
      <c r="REN3" s="19"/>
      <c r="RER3" s="19"/>
      <c r="REV3" s="19"/>
      <c r="REZ3" s="19"/>
      <c r="RFD3" s="19"/>
      <c r="RFH3" s="19"/>
      <c r="RFL3" s="19"/>
      <c r="RFP3" s="19"/>
      <c r="RFT3" s="19"/>
      <c r="RFX3" s="19"/>
      <c r="RGB3" s="19"/>
      <c r="RGF3" s="19"/>
      <c r="RGJ3" s="19"/>
      <c r="RGN3" s="19"/>
      <c r="RGR3" s="19"/>
      <c r="RGV3" s="19"/>
      <c r="RGZ3" s="19"/>
      <c r="RHD3" s="19"/>
      <c r="RHH3" s="19"/>
      <c r="RHL3" s="19"/>
      <c r="RHP3" s="19"/>
      <c r="RHT3" s="19"/>
      <c r="RHX3" s="19"/>
      <c r="RIB3" s="19"/>
      <c r="RIF3" s="19"/>
      <c r="RIJ3" s="19"/>
      <c r="RIN3" s="19"/>
      <c r="RIR3" s="19"/>
      <c r="RIV3" s="19"/>
      <c r="RIZ3" s="19"/>
      <c r="RJD3" s="19"/>
      <c r="RJH3" s="19"/>
      <c r="RJL3" s="19"/>
      <c r="RJP3" s="19"/>
      <c r="RJT3" s="19"/>
      <c r="RJX3" s="19"/>
      <c r="RKB3" s="19"/>
      <c r="RKF3" s="19"/>
      <c r="RKJ3" s="19"/>
      <c r="RKN3" s="19"/>
      <c r="RKR3" s="19"/>
      <c r="RKV3" s="19"/>
      <c r="RKZ3" s="19"/>
      <c r="RLD3" s="19"/>
      <c r="RLH3" s="19"/>
      <c r="RLL3" s="19"/>
      <c r="RLP3" s="19"/>
      <c r="RLT3" s="19"/>
      <c r="RLX3" s="19"/>
      <c r="RMB3" s="19"/>
      <c r="RMF3" s="19"/>
      <c r="RMJ3" s="19"/>
      <c r="RMN3" s="19"/>
      <c r="RMR3" s="19"/>
      <c r="RMV3" s="19"/>
      <c r="RMZ3" s="19"/>
      <c r="RND3" s="19"/>
      <c r="RNH3" s="19"/>
      <c r="RNL3" s="19"/>
      <c r="RNP3" s="19"/>
      <c r="RNT3" s="19"/>
      <c r="RNX3" s="19"/>
      <c r="ROB3" s="19"/>
      <c r="ROF3" s="19"/>
      <c r="ROJ3" s="19"/>
      <c r="RON3" s="19"/>
      <c r="ROR3" s="19"/>
      <c r="ROV3" s="19"/>
      <c r="ROZ3" s="19"/>
      <c r="RPD3" s="19"/>
      <c r="RPH3" s="19"/>
      <c r="RPL3" s="19"/>
      <c r="RPP3" s="19"/>
      <c r="RPT3" s="19"/>
      <c r="RPX3" s="19"/>
      <c r="RQB3" s="19"/>
      <c r="RQF3" s="19"/>
      <c r="RQJ3" s="19"/>
      <c r="RQN3" s="19"/>
      <c r="RQR3" s="19"/>
      <c r="RQV3" s="19"/>
      <c r="RQZ3" s="19"/>
      <c r="RRD3" s="19"/>
      <c r="RRH3" s="19"/>
      <c r="RRL3" s="19"/>
      <c r="RRP3" s="19"/>
      <c r="RRT3" s="19"/>
      <c r="RRX3" s="19"/>
      <c r="RSB3" s="19"/>
      <c r="RSF3" s="19"/>
      <c r="RSJ3" s="19"/>
      <c r="RSN3" s="19"/>
      <c r="RSR3" s="19"/>
      <c r="RSV3" s="19"/>
      <c r="RSZ3" s="19"/>
      <c r="RTD3" s="19"/>
      <c r="RTH3" s="19"/>
      <c r="RTL3" s="19"/>
      <c r="RTP3" s="19"/>
      <c r="RTT3" s="19"/>
      <c r="RTX3" s="19"/>
      <c r="RUB3" s="19"/>
      <c r="RUF3" s="19"/>
      <c r="RUJ3" s="19"/>
      <c r="RUN3" s="19"/>
      <c r="RUR3" s="19"/>
      <c r="RUV3" s="19"/>
      <c r="RUZ3" s="19"/>
      <c r="RVD3" s="19"/>
      <c r="RVH3" s="19"/>
      <c r="RVL3" s="19"/>
      <c r="RVP3" s="19"/>
      <c r="RVT3" s="19"/>
      <c r="RVX3" s="19"/>
      <c r="RWB3" s="19"/>
      <c r="RWF3" s="19"/>
      <c r="RWJ3" s="19"/>
      <c r="RWN3" s="19"/>
      <c r="RWR3" s="19"/>
      <c r="RWV3" s="19"/>
      <c r="RWZ3" s="19"/>
      <c r="RXD3" s="19"/>
      <c r="RXH3" s="19"/>
      <c r="RXL3" s="19"/>
      <c r="RXP3" s="19"/>
      <c r="RXT3" s="19"/>
      <c r="RXX3" s="19"/>
      <c r="RYB3" s="19"/>
      <c r="RYF3" s="19"/>
      <c r="RYJ3" s="19"/>
      <c r="RYN3" s="19"/>
      <c r="RYR3" s="19"/>
      <c r="RYV3" s="19"/>
      <c r="RYZ3" s="19"/>
      <c r="RZD3" s="19"/>
      <c r="RZH3" s="19"/>
      <c r="RZL3" s="19"/>
      <c r="RZP3" s="19"/>
      <c r="RZT3" s="19"/>
      <c r="RZX3" s="19"/>
      <c r="SAB3" s="19"/>
      <c r="SAF3" s="19"/>
      <c r="SAJ3" s="19"/>
      <c r="SAN3" s="19"/>
      <c r="SAR3" s="19"/>
      <c r="SAV3" s="19"/>
      <c r="SAZ3" s="19"/>
      <c r="SBD3" s="19"/>
      <c r="SBH3" s="19"/>
      <c r="SBL3" s="19"/>
      <c r="SBP3" s="19"/>
      <c r="SBT3" s="19"/>
      <c r="SBX3" s="19"/>
      <c r="SCB3" s="19"/>
      <c r="SCF3" s="19"/>
      <c r="SCJ3" s="19"/>
      <c r="SCN3" s="19"/>
      <c r="SCR3" s="19"/>
      <c r="SCV3" s="19"/>
      <c r="SCZ3" s="19"/>
      <c r="SDD3" s="19"/>
      <c r="SDH3" s="19"/>
      <c r="SDL3" s="19"/>
      <c r="SDP3" s="19"/>
      <c r="SDT3" s="19"/>
      <c r="SDX3" s="19"/>
      <c r="SEB3" s="19"/>
      <c r="SEF3" s="19"/>
      <c r="SEJ3" s="19"/>
      <c r="SEN3" s="19"/>
      <c r="SER3" s="19"/>
      <c r="SEV3" s="19"/>
      <c r="SEZ3" s="19"/>
      <c r="SFD3" s="19"/>
      <c r="SFH3" s="19"/>
      <c r="SFL3" s="19"/>
      <c r="SFP3" s="19"/>
      <c r="SFT3" s="19"/>
      <c r="SFX3" s="19"/>
      <c r="SGB3" s="19"/>
      <c r="SGF3" s="19"/>
      <c r="SGJ3" s="19"/>
      <c r="SGN3" s="19"/>
      <c r="SGR3" s="19"/>
      <c r="SGV3" s="19"/>
      <c r="SGZ3" s="19"/>
      <c r="SHD3" s="19"/>
      <c r="SHH3" s="19"/>
      <c r="SHL3" s="19"/>
      <c r="SHP3" s="19"/>
      <c r="SHT3" s="19"/>
      <c r="SHX3" s="19"/>
      <c r="SIB3" s="19"/>
      <c r="SIF3" s="19"/>
      <c r="SIJ3" s="19"/>
      <c r="SIN3" s="19"/>
      <c r="SIR3" s="19"/>
      <c r="SIV3" s="19"/>
      <c r="SIZ3" s="19"/>
      <c r="SJD3" s="19"/>
      <c r="SJH3" s="19"/>
      <c r="SJL3" s="19"/>
      <c r="SJP3" s="19"/>
      <c r="SJT3" s="19"/>
      <c r="SJX3" s="19"/>
      <c r="SKB3" s="19"/>
      <c r="SKF3" s="19"/>
      <c r="SKJ3" s="19"/>
      <c r="SKN3" s="19"/>
      <c r="SKR3" s="19"/>
      <c r="SKV3" s="19"/>
      <c r="SKZ3" s="19"/>
      <c r="SLD3" s="19"/>
      <c r="SLH3" s="19"/>
      <c r="SLL3" s="19"/>
      <c r="SLP3" s="19"/>
      <c r="SLT3" s="19"/>
      <c r="SLX3" s="19"/>
      <c r="SMB3" s="19"/>
      <c r="SMF3" s="19"/>
      <c r="SMJ3" s="19"/>
      <c r="SMN3" s="19"/>
      <c r="SMR3" s="19"/>
      <c r="SMV3" s="19"/>
      <c r="SMZ3" s="19"/>
      <c r="SND3" s="19"/>
      <c r="SNH3" s="19"/>
      <c r="SNL3" s="19"/>
      <c r="SNP3" s="19"/>
      <c r="SNT3" s="19"/>
      <c r="SNX3" s="19"/>
      <c r="SOB3" s="19"/>
      <c r="SOF3" s="19"/>
      <c r="SOJ3" s="19"/>
      <c r="SON3" s="19"/>
      <c r="SOR3" s="19"/>
      <c r="SOV3" s="19"/>
      <c r="SOZ3" s="19"/>
      <c r="SPD3" s="19"/>
      <c r="SPH3" s="19"/>
      <c r="SPL3" s="19"/>
      <c r="SPP3" s="19"/>
      <c r="SPT3" s="19"/>
      <c r="SPX3" s="19"/>
      <c r="SQB3" s="19"/>
      <c r="SQF3" s="19"/>
      <c r="SQJ3" s="19"/>
      <c r="SQN3" s="19"/>
      <c r="SQR3" s="19"/>
      <c r="SQV3" s="19"/>
      <c r="SQZ3" s="19"/>
      <c r="SRD3" s="19"/>
      <c r="SRH3" s="19"/>
      <c r="SRL3" s="19"/>
      <c r="SRP3" s="19"/>
      <c r="SRT3" s="19"/>
      <c r="SRX3" s="19"/>
      <c r="SSB3" s="19"/>
      <c r="SSF3" s="19"/>
      <c r="SSJ3" s="19"/>
      <c r="SSN3" s="19"/>
      <c r="SSR3" s="19"/>
      <c r="SSV3" s="19"/>
      <c r="SSZ3" s="19"/>
      <c r="STD3" s="19"/>
      <c r="STH3" s="19"/>
      <c r="STL3" s="19"/>
      <c r="STP3" s="19"/>
      <c r="STT3" s="19"/>
      <c r="STX3" s="19"/>
      <c r="SUB3" s="19"/>
      <c r="SUF3" s="19"/>
      <c r="SUJ3" s="19"/>
      <c r="SUN3" s="19"/>
      <c r="SUR3" s="19"/>
      <c r="SUV3" s="19"/>
      <c r="SUZ3" s="19"/>
      <c r="SVD3" s="19"/>
      <c r="SVH3" s="19"/>
      <c r="SVL3" s="19"/>
      <c r="SVP3" s="19"/>
      <c r="SVT3" s="19"/>
      <c r="SVX3" s="19"/>
      <c r="SWB3" s="19"/>
      <c r="SWF3" s="19"/>
      <c r="SWJ3" s="19"/>
      <c r="SWN3" s="19"/>
      <c r="SWR3" s="19"/>
      <c r="SWV3" s="19"/>
      <c r="SWZ3" s="19"/>
      <c r="SXD3" s="19"/>
      <c r="SXH3" s="19"/>
      <c r="SXL3" s="19"/>
      <c r="SXP3" s="19"/>
      <c r="SXT3" s="19"/>
      <c r="SXX3" s="19"/>
      <c r="SYB3" s="19"/>
      <c r="SYF3" s="19"/>
      <c r="SYJ3" s="19"/>
      <c r="SYN3" s="19"/>
      <c r="SYR3" s="19"/>
      <c r="SYV3" s="19"/>
      <c r="SYZ3" s="19"/>
      <c r="SZD3" s="19"/>
      <c r="SZH3" s="19"/>
      <c r="SZL3" s="19"/>
      <c r="SZP3" s="19"/>
      <c r="SZT3" s="19"/>
      <c r="SZX3" s="19"/>
      <c r="TAB3" s="19"/>
      <c r="TAF3" s="19"/>
      <c r="TAJ3" s="19"/>
      <c r="TAN3" s="19"/>
      <c r="TAR3" s="19"/>
      <c r="TAV3" s="19"/>
      <c r="TAZ3" s="19"/>
      <c r="TBD3" s="19"/>
      <c r="TBH3" s="19"/>
      <c r="TBL3" s="19"/>
      <c r="TBP3" s="19"/>
      <c r="TBT3" s="19"/>
      <c r="TBX3" s="19"/>
      <c r="TCB3" s="19"/>
      <c r="TCF3" s="19"/>
      <c r="TCJ3" s="19"/>
      <c r="TCN3" s="19"/>
      <c r="TCR3" s="19"/>
      <c r="TCV3" s="19"/>
      <c r="TCZ3" s="19"/>
      <c r="TDD3" s="19"/>
      <c r="TDH3" s="19"/>
      <c r="TDL3" s="19"/>
      <c r="TDP3" s="19"/>
      <c r="TDT3" s="19"/>
      <c r="TDX3" s="19"/>
      <c r="TEB3" s="19"/>
      <c r="TEF3" s="19"/>
      <c r="TEJ3" s="19"/>
      <c r="TEN3" s="19"/>
      <c r="TER3" s="19"/>
      <c r="TEV3" s="19"/>
      <c r="TEZ3" s="19"/>
      <c r="TFD3" s="19"/>
      <c r="TFH3" s="19"/>
      <c r="TFL3" s="19"/>
      <c r="TFP3" s="19"/>
      <c r="TFT3" s="19"/>
      <c r="TFX3" s="19"/>
      <c r="TGB3" s="19"/>
      <c r="TGF3" s="19"/>
      <c r="TGJ3" s="19"/>
      <c r="TGN3" s="19"/>
      <c r="TGR3" s="19"/>
      <c r="TGV3" s="19"/>
      <c r="TGZ3" s="19"/>
      <c r="THD3" s="19"/>
      <c r="THH3" s="19"/>
      <c r="THL3" s="19"/>
      <c r="THP3" s="19"/>
      <c r="THT3" s="19"/>
      <c r="THX3" s="19"/>
      <c r="TIB3" s="19"/>
      <c r="TIF3" s="19"/>
      <c r="TIJ3" s="19"/>
      <c r="TIN3" s="19"/>
      <c r="TIR3" s="19"/>
      <c r="TIV3" s="19"/>
      <c r="TIZ3" s="19"/>
      <c r="TJD3" s="19"/>
      <c r="TJH3" s="19"/>
      <c r="TJL3" s="19"/>
      <c r="TJP3" s="19"/>
      <c r="TJT3" s="19"/>
      <c r="TJX3" s="19"/>
      <c r="TKB3" s="19"/>
      <c r="TKF3" s="19"/>
      <c r="TKJ3" s="19"/>
      <c r="TKN3" s="19"/>
      <c r="TKR3" s="19"/>
      <c r="TKV3" s="19"/>
      <c r="TKZ3" s="19"/>
      <c r="TLD3" s="19"/>
      <c r="TLH3" s="19"/>
      <c r="TLL3" s="19"/>
      <c r="TLP3" s="19"/>
      <c r="TLT3" s="19"/>
      <c r="TLX3" s="19"/>
      <c r="TMB3" s="19"/>
      <c r="TMF3" s="19"/>
      <c r="TMJ3" s="19"/>
      <c r="TMN3" s="19"/>
      <c r="TMR3" s="19"/>
      <c r="TMV3" s="19"/>
      <c r="TMZ3" s="19"/>
      <c r="TND3" s="19"/>
      <c r="TNH3" s="19"/>
      <c r="TNL3" s="19"/>
      <c r="TNP3" s="19"/>
      <c r="TNT3" s="19"/>
      <c r="TNX3" s="19"/>
      <c r="TOB3" s="19"/>
      <c r="TOF3" s="19"/>
      <c r="TOJ3" s="19"/>
      <c r="TON3" s="19"/>
      <c r="TOR3" s="19"/>
      <c r="TOV3" s="19"/>
      <c r="TOZ3" s="19"/>
      <c r="TPD3" s="19"/>
      <c r="TPH3" s="19"/>
      <c r="TPL3" s="19"/>
      <c r="TPP3" s="19"/>
      <c r="TPT3" s="19"/>
      <c r="TPX3" s="19"/>
      <c r="TQB3" s="19"/>
      <c r="TQF3" s="19"/>
      <c r="TQJ3" s="19"/>
      <c r="TQN3" s="19"/>
      <c r="TQR3" s="19"/>
      <c r="TQV3" s="19"/>
      <c r="TQZ3" s="19"/>
      <c r="TRD3" s="19"/>
      <c r="TRH3" s="19"/>
      <c r="TRL3" s="19"/>
      <c r="TRP3" s="19"/>
      <c r="TRT3" s="19"/>
      <c r="TRX3" s="19"/>
      <c r="TSB3" s="19"/>
      <c r="TSF3" s="19"/>
      <c r="TSJ3" s="19"/>
      <c r="TSN3" s="19"/>
      <c r="TSR3" s="19"/>
      <c r="TSV3" s="19"/>
      <c r="TSZ3" s="19"/>
      <c r="TTD3" s="19"/>
      <c r="TTH3" s="19"/>
      <c r="TTL3" s="19"/>
      <c r="TTP3" s="19"/>
      <c r="TTT3" s="19"/>
      <c r="TTX3" s="19"/>
      <c r="TUB3" s="19"/>
      <c r="TUF3" s="19"/>
      <c r="TUJ3" s="19"/>
      <c r="TUN3" s="19"/>
      <c r="TUR3" s="19"/>
      <c r="TUV3" s="19"/>
      <c r="TUZ3" s="19"/>
      <c r="TVD3" s="19"/>
      <c r="TVH3" s="19"/>
      <c r="TVL3" s="19"/>
      <c r="TVP3" s="19"/>
      <c r="TVT3" s="19"/>
      <c r="TVX3" s="19"/>
      <c r="TWB3" s="19"/>
      <c r="TWF3" s="19"/>
      <c r="TWJ3" s="19"/>
      <c r="TWN3" s="19"/>
      <c r="TWR3" s="19"/>
      <c r="TWV3" s="19"/>
      <c r="TWZ3" s="19"/>
      <c r="TXD3" s="19"/>
      <c r="TXH3" s="19"/>
      <c r="TXL3" s="19"/>
      <c r="TXP3" s="19"/>
      <c r="TXT3" s="19"/>
      <c r="TXX3" s="19"/>
      <c r="TYB3" s="19"/>
      <c r="TYF3" s="19"/>
      <c r="TYJ3" s="19"/>
      <c r="TYN3" s="19"/>
      <c r="TYR3" s="19"/>
      <c r="TYV3" s="19"/>
      <c r="TYZ3" s="19"/>
      <c r="TZD3" s="19"/>
      <c r="TZH3" s="19"/>
      <c r="TZL3" s="19"/>
      <c r="TZP3" s="19"/>
      <c r="TZT3" s="19"/>
      <c r="TZX3" s="19"/>
      <c r="UAB3" s="19"/>
      <c r="UAF3" s="19"/>
      <c r="UAJ3" s="19"/>
      <c r="UAN3" s="19"/>
      <c r="UAR3" s="19"/>
      <c r="UAV3" s="19"/>
      <c r="UAZ3" s="19"/>
      <c r="UBD3" s="19"/>
      <c r="UBH3" s="19"/>
      <c r="UBL3" s="19"/>
      <c r="UBP3" s="19"/>
      <c r="UBT3" s="19"/>
      <c r="UBX3" s="19"/>
      <c r="UCB3" s="19"/>
      <c r="UCF3" s="19"/>
      <c r="UCJ3" s="19"/>
      <c r="UCN3" s="19"/>
      <c r="UCR3" s="19"/>
      <c r="UCV3" s="19"/>
      <c r="UCZ3" s="19"/>
      <c r="UDD3" s="19"/>
      <c r="UDH3" s="19"/>
      <c r="UDL3" s="19"/>
      <c r="UDP3" s="19"/>
      <c r="UDT3" s="19"/>
      <c r="UDX3" s="19"/>
      <c r="UEB3" s="19"/>
      <c r="UEF3" s="19"/>
      <c r="UEJ3" s="19"/>
      <c r="UEN3" s="19"/>
      <c r="UER3" s="19"/>
      <c r="UEV3" s="19"/>
      <c r="UEZ3" s="19"/>
      <c r="UFD3" s="19"/>
      <c r="UFH3" s="19"/>
      <c r="UFL3" s="19"/>
      <c r="UFP3" s="19"/>
      <c r="UFT3" s="19"/>
      <c r="UFX3" s="19"/>
      <c r="UGB3" s="19"/>
      <c r="UGF3" s="19"/>
      <c r="UGJ3" s="19"/>
      <c r="UGN3" s="19"/>
      <c r="UGR3" s="19"/>
      <c r="UGV3" s="19"/>
      <c r="UGZ3" s="19"/>
      <c r="UHD3" s="19"/>
      <c r="UHH3" s="19"/>
      <c r="UHL3" s="19"/>
      <c r="UHP3" s="19"/>
      <c r="UHT3" s="19"/>
      <c r="UHX3" s="19"/>
      <c r="UIB3" s="19"/>
      <c r="UIF3" s="19"/>
      <c r="UIJ3" s="19"/>
      <c r="UIN3" s="19"/>
      <c r="UIR3" s="19"/>
      <c r="UIV3" s="19"/>
      <c r="UIZ3" s="19"/>
      <c r="UJD3" s="19"/>
      <c r="UJH3" s="19"/>
      <c r="UJL3" s="19"/>
      <c r="UJP3" s="19"/>
      <c r="UJT3" s="19"/>
      <c r="UJX3" s="19"/>
      <c r="UKB3" s="19"/>
      <c r="UKF3" s="19"/>
      <c r="UKJ3" s="19"/>
      <c r="UKN3" s="19"/>
      <c r="UKR3" s="19"/>
      <c r="UKV3" s="19"/>
      <c r="UKZ3" s="19"/>
      <c r="ULD3" s="19"/>
      <c r="ULH3" s="19"/>
      <c r="ULL3" s="19"/>
      <c r="ULP3" s="19"/>
      <c r="ULT3" s="19"/>
      <c r="ULX3" s="19"/>
      <c r="UMB3" s="19"/>
      <c r="UMF3" s="19"/>
      <c r="UMJ3" s="19"/>
      <c r="UMN3" s="19"/>
      <c r="UMR3" s="19"/>
      <c r="UMV3" s="19"/>
      <c r="UMZ3" s="19"/>
      <c r="UND3" s="19"/>
      <c r="UNH3" s="19"/>
      <c r="UNL3" s="19"/>
      <c r="UNP3" s="19"/>
      <c r="UNT3" s="19"/>
      <c r="UNX3" s="19"/>
      <c r="UOB3" s="19"/>
      <c r="UOF3" s="19"/>
      <c r="UOJ3" s="19"/>
      <c r="UON3" s="19"/>
      <c r="UOR3" s="19"/>
      <c r="UOV3" s="19"/>
      <c r="UOZ3" s="19"/>
      <c r="UPD3" s="19"/>
      <c r="UPH3" s="19"/>
      <c r="UPL3" s="19"/>
      <c r="UPP3" s="19"/>
      <c r="UPT3" s="19"/>
      <c r="UPX3" s="19"/>
      <c r="UQB3" s="19"/>
      <c r="UQF3" s="19"/>
      <c r="UQJ3" s="19"/>
      <c r="UQN3" s="19"/>
      <c r="UQR3" s="19"/>
      <c r="UQV3" s="19"/>
      <c r="UQZ3" s="19"/>
      <c r="URD3" s="19"/>
      <c r="URH3" s="19"/>
      <c r="URL3" s="19"/>
      <c r="URP3" s="19"/>
      <c r="URT3" s="19"/>
      <c r="URX3" s="19"/>
      <c r="USB3" s="19"/>
      <c r="USF3" s="19"/>
      <c r="USJ3" s="19"/>
      <c r="USN3" s="19"/>
      <c r="USR3" s="19"/>
      <c r="USV3" s="19"/>
      <c r="USZ3" s="19"/>
      <c r="UTD3" s="19"/>
      <c r="UTH3" s="19"/>
      <c r="UTL3" s="19"/>
      <c r="UTP3" s="19"/>
      <c r="UTT3" s="19"/>
      <c r="UTX3" s="19"/>
      <c r="UUB3" s="19"/>
      <c r="UUF3" s="19"/>
      <c r="UUJ3" s="19"/>
      <c r="UUN3" s="19"/>
      <c r="UUR3" s="19"/>
      <c r="UUV3" s="19"/>
      <c r="UUZ3" s="19"/>
      <c r="UVD3" s="19"/>
      <c r="UVH3" s="19"/>
      <c r="UVL3" s="19"/>
      <c r="UVP3" s="19"/>
      <c r="UVT3" s="19"/>
      <c r="UVX3" s="19"/>
      <c r="UWB3" s="19"/>
      <c r="UWF3" s="19"/>
      <c r="UWJ3" s="19"/>
      <c r="UWN3" s="19"/>
      <c r="UWR3" s="19"/>
      <c r="UWV3" s="19"/>
      <c r="UWZ3" s="19"/>
      <c r="UXD3" s="19"/>
      <c r="UXH3" s="19"/>
      <c r="UXL3" s="19"/>
      <c r="UXP3" s="19"/>
      <c r="UXT3" s="19"/>
      <c r="UXX3" s="19"/>
      <c r="UYB3" s="19"/>
      <c r="UYF3" s="19"/>
      <c r="UYJ3" s="19"/>
      <c r="UYN3" s="19"/>
      <c r="UYR3" s="19"/>
      <c r="UYV3" s="19"/>
      <c r="UYZ3" s="19"/>
      <c r="UZD3" s="19"/>
      <c r="UZH3" s="19"/>
      <c r="UZL3" s="19"/>
      <c r="UZP3" s="19"/>
      <c r="UZT3" s="19"/>
      <c r="UZX3" s="19"/>
      <c r="VAB3" s="19"/>
      <c r="VAF3" s="19"/>
      <c r="VAJ3" s="19"/>
      <c r="VAN3" s="19"/>
      <c r="VAR3" s="19"/>
      <c r="VAV3" s="19"/>
      <c r="VAZ3" s="19"/>
      <c r="VBD3" s="19"/>
      <c r="VBH3" s="19"/>
      <c r="VBL3" s="19"/>
      <c r="VBP3" s="19"/>
      <c r="VBT3" s="19"/>
      <c r="VBX3" s="19"/>
      <c r="VCB3" s="19"/>
      <c r="VCF3" s="19"/>
      <c r="VCJ3" s="19"/>
      <c r="VCN3" s="19"/>
      <c r="VCR3" s="19"/>
      <c r="VCV3" s="19"/>
      <c r="VCZ3" s="19"/>
      <c r="VDD3" s="19"/>
      <c r="VDH3" s="19"/>
      <c r="VDL3" s="19"/>
      <c r="VDP3" s="19"/>
      <c r="VDT3" s="19"/>
      <c r="VDX3" s="19"/>
      <c r="VEB3" s="19"/>
      <c r="VEF3" s="19"/>
      <c r="VEJ3" s="19"/>
      <c r="VEN3" s="19"/>
      <c r="VER3" s="19"/>
      <c r="VEV3" s="19"/>
      <c r="VEZ3" s="19"/>
      <c r="VFD3" s="19"/>
      <c r="VFH3" s="19"/>
      <c r="VFL3" s="19"/>
      <c r="VFP3" s="19"/>
      <c r="VFT3" s="19"/>
      <c r="VFX3" s="19"/>
      <c r="VGB3" s="19"/>
      <c r="VGF3" s="19"/>
      <c r="VGJ3" s="19"/>
      <c r="VGN3" s="19"/>
      <c r="VGR3" s="19"/>
      <c r="VGV3" s="19"/>
      <c r="VGZ3" s="19"/>
      <c r="VHD3" s="19"/>
      <c r="VHH3" s="19"/>
      <c r="VHL3" s="19"/>
      <c r="VHP3" s="19"/>
      <c r="VHT3" s="19"/>
      <c r="VHX3" s="19"/>
      <c r="VIB3" s="19"/>
      <c r="VIF3" s="19"/>
      <c r="VIJ3" s="19"/>
      <c r="VIN3" s="19"/>
      <c r="VIR3" s="19"/>
      <c r="VIV3" s="19"/>
      <c r="VIZ3" s="19"/>
      <c r="VJD3" s="19"/>
      <c r="VJH3" s="19"/>
      <c r="VJL3" s="19"/>
      <c r="VJP3" s="19"/>
      <c r="VJT3" s="19"/>
      <c r="VJX3" s="19"/>
      <c r="VKB3" s="19"/>
      <c r="VKF3" s="19"/>
      <c r="VKJ3" s="19"/>
      <c r="VKN3" s="19"/>
      <c r="VKR3" s="19"/>
      <c r="VKV3" s="19"/>
      <c r="VKZ3" s="19"/>
      <c r="VLD3" s="19"/>
      <c r="VLH3" s="19"/>
      <c r="VLL3" s="19"/>
      <c r="VLP3" s="19"/>
      <c r="VLT3" s="19"/>
      <c r="VLX3" s="19"/>
      <c r="VMB3" s="19"/>
      <c r="VMF3" s="19"/>
      <c r="VMJ3" s="19"/>
      <c r="VMN3" s="19"/>
      <c r="VMR3" s="19"/>
      <c r="VMV3" s="19"/>
      <c r="VMZ3" s="19"/>
      <c r="VND3" s="19"/>
      <c r="VNH3" s="19"/>
      <c r="VNL3" s="19"/>
      <c r="VNP3" s="19"/>
      <c r="VNT3" s="19"/>
      <c r="VNX3" s="19"/>
      <c r="VOB3" s="19"/>
      <c r="VOF3" s="19"/>
      <c r="VOJ3" s="19"/>
      <c r="VON3" s="19"/>
      <c r="VOR3" s="19"/>
      <c r="VOV3" s="19"/>
      <c r="VOZ3" s="19"/>
      <c r="VPD3" s="19"/>
      <c r="VPH3" s="19"/>
      <c r="VPL3" s="19"/>
      <c r="VPP3" s="19"/>
      <c r="VPT3" s="19"/>
      <c r="VPX3" s="19"/>
      <c r="VQB3" s="19"/>
      <c r="VQF3" s="19"/>
      <c r="VQJ3" s="19"/>
      <c r="VQN3" s="19"/>
      <c r="VQR3" s="19"/>
      <c r="VQV3" s="19"/>
      <c r="VQZ3" s="19"/>
      <c r="VRD3" s="19"/>
      <c r="VRH3" s="19"/>
      <c r="VRL3" s="19"/>
      <c r="VRP3" s="19"/>
      <c r="VRT3" s="19"/>
      <c r="VRX3" s="19"/>
      <c r="VSB3" s="19"/>
      <c r="VSF3" s="19"/>
      <c r="VSJ3" s="19"/>
      <c r="VSN3" s="19"/>
      <c r="VSR3" s="19"/>
      <c r="VSV3" s="19"/>
      <c r="VSZ3" s="19"/>
      <c r="VTD3" s="19"/>
      <c r="VTH3" s="19"/>
      <c r="VTL3" s="19"/>
      <c r="VTP3" s="19"/>
      <c r="VTT3" s="19"/>
      <c r="VTX3" s="19"/>
      <c r="VUB3" s="19"/>
      <c r="VUF3" s="19"/>
      <c r="VUJ3" s="19"/>
      <c r="VUN3" s="19"/>
      <c r="VUR3" s="19"/>
      <c r="VUV3" s="19"/>
      <c r="VUZ3" s="19"/>
      <c r="VVD3" s="19"/>
      <c r="VVH3" s="19"/>
      <c r="VVL3" s="19"/>
      <c r="VVP3" s="19"/>
      <c r="VVT3" s="19"/>
      <c r="VVX3" s="19"/>
      <c r="VWB3" s="19"/>
      <c r="VWF3" s="19"/>
      <c r="VWJ3" s="19"/>
      <c r="VWN3" s="19"/>
      <c r="VWR3" s="19"/>
      <c r="VWV3" s="19"/>
      <c r="VWZ3" s="19"/>
      <c r="VXD3" s="19"/>
      <c r="VXH3" s="19"/>
      <c r="VXL3" s="19"/>
      <c r="VXP3" s="19"/>
      <c r="VXT3" s="19"/>
      <c r="VXX3" s="19"/>
      <c r="VYB3" s="19"/>
      <c r="VYF3" s="19"/>
      <c r="VYJ3" s="19"/>
      <c r="VYN3" s="19"/>
      <c r="VYR3" s="19"/>
      <c r="VYV3" s="19"/>
      <c r="VYZ3" s="19"/>
      <c r="VZD3" s="19"/>
      <c r="VZH3" s="19"/>
      <c r="VZL3" s="19"/>
      <c r="VZP3" s="19"/>
      <c r="VZT3" s="19"/>
      <c r="VZX3" s="19"/>
      <c r="WAB3" s="19"/>
      <c r="WAF3" s="19"/>
      <c r="WAJ3" s="19"/>
      <c r="WAN3" s="19"/>
      <c r="WAR3" s="19"/>
      <c r="WAV3" s="19"/>
      <c r="WAZ3" s="19"/>
      <c r="WBD3" s="19"/>
      <c r="WBH3" s="19"/>
      <c r="WBL3" s="19"/>
      <c r="WBP3" s="19"/>
      <c r="WBT3" s="19"/>
      <c r="WBX3" s="19"/>
      <c r="WCB3" s="19"/>
      <c r="WCF3" s="19"/>
      <c r="WCJ3" s="19"/>
      <c r="WCN3" s="19"/>
      <c r="WCR3" s="19"/>
      <c r="WCV3" s="19"/>
      <c r="WCZ3" s="19"/>
      <c r="WDD3" s="19"/>
      <c r="WDH3" s="19"/>
      <c r="WDL3" s="19"/>
      <c r="WDP3" s="19"/>
      <c r="WDT3" s="19"/>
      <c r="WDX3" s="19"/>
      <c r="WEB3" s="19"/>
      <c r="WEF3" s="19"/>
      <c r="WEJ3" s="19"/>
      <c r="WEN3" s="19"/>
      <c r="WER3" s="19"/>
      <c r="WEV3" s="19"/>
      <c r="WEZ3" s="19"/>
      <c r="WFD3" s="19"/>
      <c r="WFH3" s="19"/>
      <c r="WFL3" s="19"/>
      <c r="WFP3" s="19"/>
      <c r="WFT3" s="19"/>
      <c r="WFX3" s="19"/>
      <c r="WGB3" s="19"/>
      <c r="WGF3" s="19"/>
      <c r="WGJ3" s="19"/>
      <c r="WGN3" s="19"/>
      <c r="WGR3" s="19"/>
      <c r="WGV3" s="19"/>
      <c r="WGZ3" s="19"/>
      <c r="WHD3" s="19"/>
      <c r="WHH3" s="19"/>
      <c r="WHL3" s="19"/>
      <c r="WHP3" s="19"/>
      <c r="WHT3" s="19"/>
      <c r="WHX3" s="19"/>
      <c r="WIB3" s="19"/>
      <c r="WIF3" s="19"/>
      <c r="WIJ3" s="19"/>
      <c r="WIN3" s="19"/>
      <c r="WIR3" s="19"/>
      <c r="WIV3" s="19"/>
      <c r="WIZ3" s="19"/>
      <c r="WJD3" s="19"/>
      <c r="WJH3" s="19"/>
      <c r="WJL3" s="19"/>
      <c r="WJP3" s="19"/>
      <c r="WJT3" s="19"/>
      <c r="WJX3" s="19"/>
      <c r="WKB3" s="19"/>
      <c r="WKF3" s="19"/>
      <c r="WKJ3" s="19"/>
      <c r="WKN3" s="19"/>
      <c r="WKR3" s="19"/>
      <c r="WKV3" s="19"/>
      <c r="WKZ3" s="19"/>
      <c r="WLD3" s="19"/>
      <c r="WLH3" s="19"/>
      <c r="WLL3" s="19"/>
      <c r="WLP3" s="19"/>
      <c r="WLT3" s="19"/>
      <c r="WLX3" s="19"/>
      <c r="WMB3" s="19"/>
      <c r="WMF3" s="19"/>
      <c r="WMJ3" s="19"/>
      <c r="WMN3" s="19"/>
      <c r="WMR3" s="19"/>
      <c r="WMV3" s="19"/>
      <c r="WMZ3" s="19"/>
      <c r="WND3" s="19"/>
      <c r="WNH3" s="19"/>
      <c r="WNL3" s="19"/>
      <c r="WNP3" s="19"/>
      <c r="WNT3" s="19"/>
      <c r="WNX3" s="19"/>
      <c r="WOB3" s="19"/>
      <c r="WOF3" s="19"/>
      <c r="WOJ3" s="19"/>
      <c r="WON3" s="19"/>
      <c r="WOR3" s="19"/>
      <c r="WOV3" s="19"/>
      <c r="WOZ3" s="19"/>
      <c r="WPD3" s="19"/>
      <c r="WPH3" s="19"/>
      <c r="WPL3" s="19"/>
      <c r="WPP3" s="19"/>
      <c r="WPT3" s="19"/>
      <c r="WPX3" s="19"/>
      <c r="WQB3" s="19"/>
      <c r="WQF3" s="19"/>
      <c r="WQJ3" s="19"/>
      <c r="WQN3" s="19"/>
      <c r="WQR3" s="19"/>
      <c r="WQV3" s="19"/>
      <c r="WQZ3" s="19"/>
      <c r="WRD3" s="19"/>
      <c r="WRH3" s="19"/>
      <c r="WRL3" s="19"/>
      <c r="WRP3" s="19"/>
      <c r="WRT3" s="19"/>
      <c r="WRX3" s="19"/>
      <c r="WSB3" s="19"/>
      <c r="WSF3" s="19"/>
      <c r="WSJ3" s="19"/>
      <c r="WSN3" s="19"/>
      <c r="WSR3" s="19"/>
      <c r="WSV3" s="19"/>
      <c r="WSZ3" s="19"/>
      <c r="WTD3" s="19"/>
      <c r="WTH3" s="19"/>
      <c r="WTL3" s="19"/>
      <c r="WTP3" s="19"/>
      <c r="WTT3" s="19"/>
      <c r="WTX3" s="19"/>
      <c r="WUB3" s="19"/>
      <c r="WUF3" s="19"/>
      <c r="WUJ3" s="19"/>
      <c r="WUN3" s="19"/>
      <c r="WUR3" s="19"/>
      <c r="WUV3" s="19"/>
      <c r="WUZ3" s="19"/>
      <c r="WVD3" s="19"/>
      <c r="WVH3" s="19"/>
      <c r="WVL3" s="19"/>
      <c r="WVP3" s="19"/>
      <c r="WVT3" s="19"/>
      <c r="WVX3" s="19"/>
      <c r="WWB3" s="19"/>
      <c r="WWF3" s="19"/>
      <c r="WWJ3" s="19"/>
      <c r="WWN3" s="19"/>
      <c r="WWR3" s="19"/>
      <c r="WWV3" s="19"/>
      <c r="WWZ3" s="19"/>
      <c r="WXD3" s="19"/>
      <c r="WXH3" s="19"/>
      <c r="WXL3" s="19"/>
      <c r="WXP3" s="19"/>
      <c r="WXT3" s="19"/>
      <c r="WXX3" s="19"/>
      <c r="WYB3" s="19"/>
      <c r="WYF3" s="19"/>
      <c r="WYJ3" s="19"/>
      <c r="WYN3" s="19"/>
      <c r="WYR3" s="19"/>
      <c r="WYV3" s="19"/>
      <c r="WYZ3" s="19"/>
      <c r="WZD3" s="19"/>
      <c r="WZH3" s="19"/>
      <c r="WZL3" s="19"/>
      <c r="WZP3" s="19"/>
      <c r="WZT3" s="19"/>
      <c r="WZX3" s="19"/>
      <c r="XAB3" s="19"/>
      <c r="XAF3" s="19"/>
      <c r="XAJ3" s="19"/>
      <c r="XAN3" s="19"/>
      <c r="XAR3" s="19"/>
      <c r="XAV3" s="19"/>
      <c r="XAZ3" s="19"/>
      <c r="XBD3" s="19"/>
      <c r="XBH3" s="19"/>
      <c r="XBL3" s="19"/>
      <c r="XBP3" s="19"/>
      <c r="XBT3" s="19"/>
      <c r="XBX3" s="19"/>
      <c r="XCB3" s="19"/>
      <c r="XCF3" s="19"/>
      <c r="XCJ3" s="19"/>
      <c r="XCN3" s="19"/>
      <c r="XCR3" s="19"/>
      <c r="XCV3" s="19"/>
      <c r="XCZ3" s="19"/>
      <c r="XDD3" s="19"/>
      <c r="XDH3" s="19"/>
      <c r="XDL3" s="19"/>
      <c r="XDP3" s="19"/>
      <c r="XDT3" s="19"/>
      <c r="XDX3" s="19"/>
      <c r="XEB3" s="19"/>
      <c r="XEF3" s="19"/>
      <c r="XEJ3" s="19"/>
      <c r="XEN3" s="19"/>
      <c r="XER3" s="19"/>
      <c r="XEV3" s="19"/>
      <c r="XEZ3" s="19"/>
      <c r="XFD3" s="19"/>
    </row>
    <row r="4" spans="5:16384" ht="15.75">
      <c r="E4" s="19" t="s">
        <v>814</v>
      </c>
      <c r="H4" s="19"/>
      <c r="L4" s="19"/>
      <c r="P4" s="19"/>
      <c r="T4" s="19"/>
      <c r="X4" s="19"/>
      <c r="AB4" s="19"/>
      <c r="AF4" s="19"/>
      <c r="AJ4" s="19"/>
      <c r="AN4" s="19"/>
      <c r="AR4" s="19"/>
      <c r="AV4" s="19"/>
      <c r="AZ4" s="19"/>
      <c r="BD4" s="19"/>
      <c r="BH4" s="19"/>
      <c r="BL4" s="19"/>
      <c r="BP4" s="19"/>
      <c r="BT4" s="19"/>
      <c r="BX4" s="19"/>
      <c r="CB4" s="19"/>
      <c r="CF4" s="19"/>
      <c r="CJ4" s="19"/>
      <c r="CN4" s="19"/>
      <c r="CR4" s="19"/>
      <c r="CV4" s="19"/>
      <c r="CZ4" s="19"/>
      <c r="DD4" s="19"/>
      <c r="DH4" s="19"/>
      <c r="DL4" s="19"/>
      <c r="DP4" s="19"/>
      <c r="DT4" s="19"/>
      <c r="DX4" s="19"/>
      <c r="EB4" s="19"/>
      <c r="EF4" s="19"/>
      <c r="EJ4" s="19"/>
      <c r="EN4" s="19"/>
      <c r="ER4" s="19"/>
      <c r="EV4" s="19"/>
      <c r="EZ4" s="19"/>
      <c r="FD4" s="19"/>
      <c r="FH4" s="19"/>
      <c r="FL4" s="19"/>
      <c r="FP4" s="19"/>
      <c r="FT4" s="19"/>
      <c r="FX4" s="19"/>
      <c r="GB4" s="19"/>
      <c r="GF4" s="19"/>
      <c r="GJ4" s="19"/>
      <c r="GN4" s="19"/>
      <c r="GR4" s="19"/>
      <c r="GV4" s="19"/>
      <c r="GZ4" s="19"/>
      <c r="HD4" s="19"/>
      <c r="HH4" s="19"/>
      <c r="HL4" s="19"/>
      <c r="HP4" s="19"/>
      <c r="HT4" s="19"/>
      <c r="HX4" s="19"/>
      <c r="IB4" s="19"/>
      <c r="IF4" s="19"/>
      <c r="IJ4" s="19"/>
      <c r="IN4" s="19"/>
      <c r="IR4" s="19"/>
      <c r="IV4" s="19"/>
      <c r="IZ4" s="19"/>
      <c r="JD4" s="19"/>
      <c r="JH4" s="19"/>
      <c r="JL4" s="19"/>
      <c r="JP4" s="19"/>
      <c r="JT4" s="19"/>
      <c r="JX4" s="19"/>
      <c r="KB4" s="19"/>
      <c r="KF4" s="19"/>
      <c r="KJ4" s="19"/>
      <c r="KN4" s="19"/>
      <c r="KR4" s="19"/>
      <c r="KV4" s="19"/>
      <c r="KZ4" s="19"/>
      <c r="LD4" s="19"/>
      <c r="LH4" s="19"/>
      <c r="LL4" s="19"/>
      <c r="LP4" s="19"/>
      <c r="LT4" s="19"/>
      <c r="LX4" s="19"/>
      <c r="MB4" s="19"/>
      <c r="MF4" s="19"/>
      <c r="MJ4" s="19"/>
      <c r="MN4" s="19"/>
      <c r="MR4" s="19"/>
      <c r="MV4" s="19"/>
      <c r="MZ4" s="19"/>
      <c r="ND4" s="19"/>
      <c r="NH4" s="19"/>
      <c r="NL4" s="19"/>
      <c r="NP4" s="19"/>
      <c r="NT4" s="19"/>
      <c r="NX4" s="19"/>
      <c r="OB4" s="19"/>
      <c r="OF4" s="19"/>
      <c r="OJ4" s="19"/>
      <c r="ON4" s="19"/>
      <c r="OR4" s="19"/>
      <c r="OV4" s="19"/>
      <c r="OZ4" s="19"/>
      <c r="PD4" s="19"/>
      <c r="PH4" s="19"/>
      <c r="PL4" s="19"/>
      <c r="PP4" s="19"/>
      <c r="PT4" s="19"/>
      <c r="PX4" s="19"/>
      <c r="QB4" s="19"/>
      <c r="QF4" s="19"/>
      <c r="QJ4" s="19"/>
      <c r="QN4" s="19"/>
      <c r="QR4" s="19"/>
      <c r="QV4" s="19"/>
      <c r="QZ4" s="19"/>
      <c r="RD4" s="19"/>
      <c r="RH4" s="19"/>
      <c r="RL4" s="19"/>
      <c r="RP4" s="19"/>
      <c r="RT4" s="19"/>
      <c r="RX4" s="19"/>
      <c r="SB4" s="19"/>
      <c r="SF4" s="19"/>
      <c r="SJ4" s="19"/>
      <c r="SN4" s="19"/>
      <c r="SR4" s="19"/>
      <c r="SV4" s="19"/>
      <c r="SZ4" s="19"/>
      <c r="TD4" s="19"/>
      <c r="TH4" s="19"/>
      <c r="TL4" s="19"/>
      <c r="TP4" s="19"/>
      <c r="TT4" s="19"/>
      <c r="TX4" s="19"/>
      <c r="UB4" s="19"/>
      <c r="UF4" s="19"/>
      <c r="UJ4" s="19"/>
      <c r="UN4" s="19"/>
      <c r="UR4" s="19"/>
      <c r="UV4" s="19"/>
      <c r="UZ4" s="19"/>
      <c r="VD4" s="19"/>
      <c r="VH4" s="19"/>
      <c r="VL4" s="19"/>
      <c r="VP4" s="19"/>
      <c r="VT4" s="19"/>
      <c r="VX4" s="19"/>
      <c r="WB4" s="19"/>
      <c r="WF4" s="19"/>
      <c r="WJ4" s="19"/>
      <c r="WN4" s="19"/>
      <c r="WR4" s="19"/>
      <c r="WV4" s="19"/>
      <c r="WZ4" s="19"/>
      <c r="XD4" s="19"/>
      <c r="XH4" s="19"/>
      <c r="XL4" s="19"/>
      <c r="XP4" s="19"/>
      <c r="XT4" s="19"/>
      <c r="XX4" s="19"/>
      <c r="YB4" s="19"/>
      <c r="YF4" s="19"/>
      <c r="YJ4" s="19"/>
      <c r="YN4" s="19"/>
      <c r="YR4" s="19"/>
      <c r="YV4" s="19"/>
      <c r="YZ4" s="19"/>
      <c r="ZD4" s="19"/>
      <c r="ZH4" s="19"/>
      <c r="ZL4" s="19"/>
      <c r="ZP4" s="19"/>
      <c r="ZT4" s="19"/>
      <c r="ZX4" s="19"/>
      <c r="AAB4" s="19"/>
      <c r="AAF4" s="19"/>
      <c r="AAJ4" s="19"/>
      <c r="AAN4" s="19"/>
      <c r="AAR4" s="19"/>
      <c r="AAV4" s="19"/>
      <c r="AAZ4" s="19"/>
      <c r="ABD4" s="19"/>
      <c r="ABH4" s="19"/>
      <c r="ABL4" s="19"/>
      <c r="ABP4" s="19"/>
      <c r="ABT4" s="19"/>
      <c r="ABX4" s="19"/>
      <c r="ACB4" s="19"/>
      <c r="ACF4" s="19"/>
      <c r="ACJ4" s="19"/>
      <c r="ACN4" s="19"/>
      <c r="ACR4" s="19"/>
      <c r="ACV4" s="19"/>
      <c r="ACZ4" s="19"/>
      <c r="ADD4" s="19"/>
      <c r="ADH4" s="19"/>
      <c r="ADL4" s="19"/>
      <c r="ADP4" s="19"/>
      <c r="ADT4" s="19"/>
      <c r="ADX4" s="19"/>
      <c r="AEB4" s="19"/>
      <c r="AEF4" s="19"/>
      <c r="AEJ4" s="19"/>
      <c r="AEN4" s="19"/>
      <c r="AER4" s="19"/>
      <c r="AEV4" s="19"/>
      <c r="AEZ4" s="19"/>
      <c r="AFD4" s="19"/>
      <c r="AFH4" s="19"/>
      <c r="AFL4" s="19"/>
      <c r="AFP4" s="19"/>
      <c r="AFT4" s="19"/>
      <c r="AFX4" s="19"/>
      <c r="AGB4" s="19"/>
      <c r="AGF4" s="19"/>
      <c r="AGJ4" s="19"/>
      <c r="AGN4" s="19"/>
      <c r="AGR4" s="19"/>
      <c r="AGV4" s="19"/>
      <c r="AGZ4" s="19"/>
      <c r="AHD4" s="19"/>
      <c r="AHH4" s="19"/>
      <c r="AHL4" s="19"/>
      <c r="AHP4" s="19"/>
      <c r="AHT4" s="19"/>
      <c r="AHX4" s="19"/>
      <c r="AIB4" s="19"/>
      <c r="AIF4" s="19"/>
      <c r="AIJ4" s="19"/>
      <c r="AIN4" s="19"/>
      <c r="AIR4" s="19"/>
      <c r="AIV4" s="19"/>
      <c r="AIZ4" s="19"/>
      <c r="AJD4" s="19"/>
      <c r="AJH4" s="19"/>
      <c r="AJL4" s="19"/>
      <c r="AJP4" s="19"/>
      <c r="AJT4" s="19"/>
      <c r="AJX4" s="19"/>
      <c r="AKB4" s="19"/>
      <c r="AKF4" s="19"/>
      <c r="AKJ4" s="19"/>
      <c r="AKN4" s="19"/>
      <c r="AKR4" s="19"/>
      <c r="AKV4" s="19"/>
      <c r="AKZ4" s="19"/>
      <c r="ALD4" s="19"/>
      <c r="ALH4" s="19"/>
      <c r="ALL4" s="19"/>
      <c r="ALP4" s="19"/>
      <c r="ALT4" s="19"/>
      <c r="ALX4" s="19"/>
      <c r="AMB4" s="19"/>
      <c r="AMF4" s="19"/>
      <c r="AMJ4" s="19"/>
      <c r="AMN4" s="19"/>
      <c r="AMR4" s="19"/>
      <c r="AMV4" s="19"/>
      <c r="AMZ4" s="19"/>
      <c r="AND4" s="19"/>
      <c r="ANH4" s="19"/>
      <c r="ANL4" s="19"/>
      <c r="ANP4" s="19"/>
      <c r="ANT4" s="19"/>
      <c r="ANX4" s="19"/>
      <c r="AOB4" s="19"/>
      <c r="AOF4" s="19"/>
      <c r="AOJ4" s="19"/>
      <c r="AON4" s="19"/>
      <c r="AOR4" s="19"/>
      <c r="AOV4" s="19"/>
      <c r="AOZ4" s="19"/>
      <c r="APD4" s="19"/>
      <c r="APH4" s="19"/>
      <c r="APL4" s="19"/>
      <c r="APP4" s="19"/>
      <c r="APT4" s="19"/>
      <c r="APX4" s="19"/>
      <c r="AQB4" s="19"/>
      <c r="AQF4" s="19"/>
      <c r="AQJ4" s="19"/>
      <c r="AQN4" s="19"/>
      <c r="AQR4" s="19"/>
      <c r="AQV4" s="19"/>
      <c r="AQZ4" s="19"/>
      <c r="ARD4" s="19"/>
      <c r="ARH4" s="19"/>
      <c r="ARL4" s="19"/>
      <c r="ARP4" s="19"/>
      <c r="ART4" s="19"/>
      <c r="ARX4" s="19"/>
      <c r="ASB4" s="19"/>
      <c r="ASF4" s="19"/>
      <c r="ASJ4" s="19"/>
      <c r="ASN4" s="19"/>
      <c r="ASR4" s="19"/>
      <c r="ASV4" s="19"/>
      <c r="ASZ4" s="19"/>
      <c r="ATD4" s="19"/>
      <c r="ATH4" s="19"/>
      <c r="ATL4" s="19"/>
      <c r="ATP4" s="19"/>
      <c r="ATT4" s="19"/>
      <c r="ATX4" s="19"/>
      <c r="AUB4" s="19"/>
      <c r="AUF4" s="19"/>
      <c r="AUJ4" s="19"/>
      <c r="AUN4" s="19"/>
      <c r="AUR4" s="19"/>
      <c r="AUV4" s="19"/>
      <c r="AUZ4" s="19"/>
      <c r="AVD4" s="19"/>
      <c r="AVH4" s="19"/>
      <c r="AVL4" s="19"/>
      <c r="AVP4" s="19"/>
      <c r="AVT4" s="19"/>
      <c r="AVX4" s="19"/>
      <c r="AWB4" s="19"/>
      <c r="AWF4" s="19"/>
      <c r="AWJ4" s="19"/>
      <c r="AWN4" s="19"/>
      <c r="AWR4" s="19"/>
      <c r="AWV4" s="19"/>
      <c r="AWZ4" s="19"/>
      <c r="AXD4" s="19"/>
      <c r="AXH4" s="19"/>
      <c r="AXL4" s="19"/>
      <c r="AXP4" s="19"/>
      <c r="AXT4" s="19"/>
      <c r="AXX4" s="19"/>
      <c r="AYB4" s="19"/>
      <c r="AYF4" s="19"/>
      <c r="AYJ4" s="19"/>
      <c r="AYN4" s="19"/>
      <c r="AYR4" s="19"/>
      <c r="AYV4" s="19"/>
      <c r="AYZ4" s="19"/>
      <c r="AZD4" s="19"/>
      <c r="AZH4" s="19"/>
      <c r="AZL4" s="19"/>
      <c r="AZP4" s="19"/>
      <c r="AZT4" s="19"/>
      <c r="AZX4" s="19"/>
      <c r="BAB4" s="19"/>
      <c r="BAF4" s="19"/>
      <c r="BAJ4" s="19"/>
      <c r="BAN4" s="19"/>
      <c r="BAR4" s="19"/>
      <c r="BAV4" s="19"/>
      <c r="BAZ4" s="19"/>
      <c r="BBD4" s="19"/>
      <c r="BBH4" s="19"/>
      <c r="BBL4" s="19"/>
      <c r="BBP4" s="19"/>
      <c r="BBT4" s="19"/>
      <c r="BBX4" s="19"/>
      <c r="BCB4" s="19"/>
      <c r="BCF4" s="19"/>
      <c r="BCJ4" s="19"/>
      <c r="BCN4" s="19"/>
      <c r="BCR4" s="19"/>
      <c r="BCV4" s="19"/>
      <c r="BCZ4" s="19"/>
      <c r="BDD4" s="19"/>
      <c r="BDH4" s="19"/>
      <c r="BDL4" s="19"/>
      <c r="BDP4" s="19"/>
      <c r="BDT4" s="19"/>
      <c r="BDX4" s="19"/>
      <c r="BEB4" s="19"/>
      <c r="BEF4" s="19"/>
      <c r="BEJ4" s="19"/>
      <c r="BEN4" s="19"/>
      <c r="BER4" s="19"/>
      <c r="BEV4" s="19"/>
      <c r="BEZ4" s="19"/>
      <c r="BFD4" s="19"/>
      <c r="BFH4" s="19"/>
      <c r="BFL4" s="19"/>
      <c r="BFP4" s="19"/>
      <c r="BFT4" s="19"/>
      <c r="BFX4" s="19"/>
      <c r="BGB4" s="19"/>
      <c r="BGF4" s="19"/>
      <c r="BGJ4" s="19"/>
      <c r="BGN4" s="19"/>
      <c r="BGR4" s="19"/>
      <c r="BGV4" s="19"/>
      <c r="BGZ4" s="19"/>
      <c r="BHD4" s="19"/>
      <c r="BHH4" s="19"/>
      <c r="BHL4" s="19"/>
      <c r="BHP4" s="19"/>
      <c r="BHT4" s="19"/>
      <c r="BHX4" s="19"/>
      <c r="BIB4" s="19"/>
      <c r="BIF4" s="19"/>
      <c r="BIJ4" s="19"/>
      <c r="BIN4" s="19"/>
      <c r="BIR4" s="19"/>
      <c r="BIV4" s="19"/>
      <c r="BIZ4" s="19"/>
      <c r="BJD4" s="19"/>
      <c r="BJH4" s="19"/>
      <c r="BJL4" s="19"/>
      <c r="BJP4" s="19"/>
      <c r="BJT4" s="19"/>
      <c r="BJX4" s="19"/>
      <c r="BKB4" s="19"/>
      <c r="BKF4" s="19"/>
      <c r="BKJ4" s="19"/>
      <c r="BKN4" s="19"/>
      <c r="BKR4" s="19"/>
      <c r="BKV4" s="19"/>
      <c r="BKZ4" s="19"/>
      <c r="BLD4" s="19"/>
      <c r="BLH4" s="19"/>
      <c r="BLL4" s="19"/>
      <c r="BLP4" s="19"/>
      <c r="BLT4" s="19"/>
      <c r="BLX4" s="19"/>
      <c r="BMB4" s="19"/>
      <c r="BMF4" s="19"/>
      <c r="BMJ4" s="19"/>
      <c r="BMN4" s="19"/>
      <c r="BMR4" s="19"/>
      <c r="BMV4" s="19"/>
      <c r="BMZ4" s="19"/>
      <c r="BND4" s="19"/>
      <c r="BNH4" s="19"/>
      <c r="BNL4" s="19"/>
      <c r="BNP4" s="19"/>
      <c r="BNT4" s="19"/>
      <c r="BNX4" s="19"/>
      <c r="BOB4" s="19"/>
      <c r="BOF4" s="19"/>
      <c r="BOJ4" s="19"/>
      <c r="BON4" s="19"/>
      <c r="BOR4" s="19"/>
      <c r="BOV4" s="19"/>
      <c r="BOZ4" s="19"/>
      <c r="BPD4" s="19"/>
      <c r="BPH4" s="19"/>
      <c r="BPL4" s="19"/>
      <c r="BPP4" s="19"/>
      <c r="BPT4" s="19"/>
      <c r="BPX4" s="19"/>
      <c r="BQB4" s="19"/>
      <c r="BQF4" s="19"/>
      <c r="BQJ4" s="19"/>
      <c r="BQN4" s="19"/>
      <c r="BQR4" s="19"/>
      <c r="BQV4" s="19"/>
      <c r="BQZ4" s="19"/>
      <c r="BRD4" s="19"/>
      <c r="BRH4" s="19"/>
      <c r="BRL4" s="19"/>
      <c r="BRP4" s="19"/>
      <c r="BRT4" s="19"/>
      <c r="BRX4" s="19"/>
      <c r="BSB4" s="19"/>
      <c r="BSF4" s="19"/>
      <c r="BSJ4" s="19"/>
      <c r="BSN4" s="19"/>
      <c r="BSR4" s="19"/>
      <c r="BSV4" s="19"/>
      <c r="BSZ4" s="19"/>
      <c r="BTD4" s="19"/>
      <c r="BTH4" s="19"/>
      <c r="BTL4" s="19"/>
      <c r="BTP4" s="19"/>
      <c r="BTT4" s="19"/>
      <c r="BTX4" s="19"/>
      <c r="BUB4" s="19"/>
      <c r="BUF4" s="19"/>
      <c r="BUJ4" s="19"/>
      <c r="BUN4" s="19"/>
      <c r="BUR4" s="19"/>
      <c r="BUV4" s="19"/>
      <c r="BUZ4" s="19"/>
      <c r="BVD4" s="19"/>
      <c r="BVH4" s="19"/>
      <c r="BVL4" s="19"/>
      <c r="BVP4" s="19"/>
      <c r="BVT4" s="19"/>
      <c r="BVX4" s="19"/>
      <c r="BWB4" s="19"/>
      <c r="BWF4" s="19"/>
      <c r="BWJ4" s="19"/>
      <c r="BWN4" s="19"/>
      <c r="BWR4" s="19"/>
      <c r="BWV4" s="19"/>
      <c r="BWZ4" s="19"/>
      <c r="BXD4" s="19"/>
      <c r="BXH4" s="19"/>
      <c r="BXL4" s="19"/>
      <c r="BXP4" s="19"/>
      <c r="BXT4" s="19"/>
      <c r="BXX4" s="19"/>
      <c r="BYB4" s="19"/>
      <c r="BYF4" s="19"/>
      <c r="BYJ4" s="19"/>
      <c r="BYN4" s="19"/>
      <c r="BYR4" s="19"/>
      <c r="BYV4" s="19"/>
      <c r="BYZ4" s="19"/>
      <c r="BZD4" s="19"/>
      <c r="BZH4" s="19"/>
      <c r="BZL4" s="19"/>
      <c r="BZP4" s="19"/>
      <c r="BZT4" s="19"/>
      <c r="BZX4" s="19"/>
      <c r="CAB4" s="19"/>
      <c r="CAF4" s="19"/>
      <c r="CAJ4" s="19"/>
      <c r="CAN4" s="19"/>
      <c r="CAR4" s="19"/>
      <c r="CAV4" s="19"/>
      <c r="CAZ4" s="19"/>
      <c r="CBD4" s="19"/>
      <c r="CBH4" s="19"/>
      <c r="CBL4" s="19"/>
      <c r="CBP4" s="19"/>
      <c r="CBT4" s="19"/>
      <c r="CBX4" s="19"/>
      <c r="CCB4" s="19"/>
      <c r="CCF4" s="19"/>
      <c r="CCJ4" s="19"/>
      <c r="CCN4" s="19"/>
      <c r="CCR4" s="19"/>
      <c r="CCV4" s="19"/>
      <c r="CCZ4" s="19"/>
      <c r="CDD4" s="19"/>
      <c r="CDH4" s="19"/>
      <c r="CDL4" s="19"/>
      <c r="CDP4" s="19"/>
      <c r="CDT4" s="19"/>
      <c r="CDX4" s="19"/>
      <c r="CEB4" s="19"/>
      <c r="CEF4" s="19"/>
      <c r="CEJ4" s="19"/>
      <c r="CEN4" s="19"/>
      <c r="CER4" s="19"/>
      <c r="CEV4" s="19"/>
      <c r="CEZ4" s="19"/>
      <c r="CFD4" s="19"/>
      <c r="CFH4" s="19"/>
      <c r="CFL4" s="19"/>
      <c r="CFP4" s="19"/>
      <c r="CFT4" s="19"/>
      <c r="CFX4" s="19"/>
      <c r="CGB4" s="19"/>
      <c r="CGF4" s="19"/>
      <c r="CGJ4" s="19"/>
      <c r="CGN4" s="19"/>
      <c r="CGR4" s="19"/>
      <c r="CGV4" s="19"/>
      <c r="CGZ4" s="19"/>
      <c r="CHD4" s="19"/>
      <c r="CHH4" s="19"/>
      <c r="CHL4" s="19"/>
      <c r="CHP4" s="19"/>
      <c r="CHT4" s="19"/>
      <c r="CHX4" s="19"/>
      <c r="CIB4" s="19"/>
      <c r="CIF4" s="19"/>
      <c r="CIJ4" s="19"/>
      <c r="CIN4" s="19"/>
      <c r="CIR4" s="19"/>
      <c r="CIV4" s="19"/>
      <c r="CIZ4" s="19"/>
      <c r="CJD4" s="19"/>
      <c r="CJH4" s="19"/>
      <c r="CJL4" s="19"/>
      <c r="CJP4" s="19"/>
      <c r="CJT4" s="19"/>
      <c r="CJX4" s="19"/>
      <c r="CKB4" s="19"/>
      <c r="CKF4" s="19"/>
      <c r="CKJ4" s="19"/>
      <c r="CKN4" s="19"/>
      <c r="CKR4" s="19"/>
      <c r="CKV4" s="19"/>
      <c r="CKZ4" s="19"/>
      <c r="CLD4" s="19"/>
      <c r="CLH4" s="19"/>
      <c r="CLL4" s="19"/>
      <c r="CLP4" s="19"/>
      <c r="CLT4" s="19"/>
      <c r="CLX4" s="19"/>
      <c r="CMB4" s="19"/>
      <c r="CMF4" s="19"/>
      <c r="CMJ4" s="19"/>
      <c r="CMN4" s="19"/>
      <c r="CMR4" s="19"/>
      <c r="CMV4" s="19"/>
      <c r="CMZ4" s="19"/>
      <c r="CND4" s="19"/>
      <c r="CNH4" s="19"/>
      <c r="CNL4" s="19"/>
      <c r="CNP4" s="19"/>
      <c r="CNT4" s="19"/>
      <c r="CNX4" s="19"/>
      <c r="COB4" s="19"/>
      <c r="COF4" s="19"/>
      <c r="COJ4" s="19"/>
      <c r="CON4" s="19"/>
      <c r="COR4" s="19"/>
      <c r="COV4" s="19"/>
      <c r="COZ4" s="19"/>
      <c r="CPD4" s="19"/>
      <c r="CPH4" s="19"/>
      <c r="CPL4" s="19"/>
      <c r="CPP4" s="19"/>
      <c r="CPT4" s="19"/>
      <c r="CPX4" s="19"/>
      <c r="CQB4" s="19"/>
      <c r="CQF4" s="19"/>
      <c r="CQJ4" s="19"/>
      <c r="CQN4" s="19"/>
      <c r="CQR4" s="19"/>
      <c r="CQV4" s="19"/>
      <c r="CQZ4" s="19"/>
      <c r="CRD4" s="19"/>
      <c r="CRH4" s="19"/>
      <c r="CRL4" s="19"/>
      <c r="CRP4" s="19"/>
      <c r="CRT4" s="19"/>
      <c r="CRX4" s="19"/>
      <c r="CSB4" s="19"/>
      <c r="CSF4" s="19"/>
      <c r="CSJ4" s="19"/>
      <c r="CSN4" s="19"/>
      <c r="CSR4" s="19"/>
      <c r="CSV4" s="19"/>
      <c r="CSZ4" s="19"/>
      <c r="CTD4" s="19"/>
      <c r="CTH4" s="19"/>
      <c r="CTL4" s="19"/>
      <c r="CTP4" s="19"/>
      <c r="CTT4" s="19"/>
      <c r="CTX4" s="19"/>
      <c r="CUB4" s="19"/>
      <c r="CUF4" s="19"/>
      <c r="CUJ4" s="19"/>
      <c r="CUN4" s="19"/>
      <c r="CUR4" s="19"/>
      <c r="CUV4" s="19"/>
      <c r="CUZ4" s="19"/>
      <c r="CVD4" s="19"/>
      <c r="CVH4" s="19"/>
      <c r="CVL4" s="19"/>
      <c r="CVP4" s="19"/>
      <c r="CVT4" s="19"/>
      <c r="CVX4" s="19"/>
      <c r="CWB4" s="19"/>
      <c r="CWF4" s="19"/>
      <c r="CWJ4" s="19"/>
      <c r="CWN4" s="19"/>
      <c r="CWR4" s="19"/>
      <c r="CWV4" s="19"/>
      <c r="CWZ4" s="19"/>
      <c r="CXD4" s="19"/>
      <c r="CXH4" s="19"/>
      <c r="CXL4" s="19"/>
      <c r="CXP4" s="19"/>
      <c r="CXT4" s="19"/>
      <c r="CXX4" s="19"/>
      <c r="CYB4" s="19"/>
      <c r="CYF4" s="19"/>
      <c r="CYJ4" s="19"/>
      <c r="CYN4" s="19"/>
      <c r="CYR4" s="19"/>
      <c r="CYV4" s="19"/>
      <c r="CYZ4" s="19"/>
      <c r="CZD4" s="19"/>
      <c r="CZH4" s="19"/>
      <c r="CZL4" s="19"/>
      <c r="CZP4" s="19"/>
      <c r="CZT4" s="19"/>
      <c r="CZX4" s="19"/>
      <c r="DAB4" s="19"/>
      <c r="DAF4" s="19"/>
      <c r="DAJ4" s="19"/>
      <c r="DAN4" s="19"/>
      <c r="DAR4" s="19"/>
      <c r="DAV4" s="19"/>
      <c r="DAZ4" s="19"/>
      <c r="DBD4" s="19"/>
      <c r="DBH4" s="19"/>
      <c r="DBL4" s="19"/>
      <c r="DBP4" s="19"/>
      <c r="DBT4" s="19"/>
      <c r="DBX4" s="19"/>
      <c r="DCB4" s="19"/>
      <c r="DCF4" s="19"/>
      <c r="DCJ4" s="19"/>
      <c r="DCN4" s="19"/>
      <c r="DCR4" s="19"/>
      <c r="DCV4" s="19"/>
      <c r="DCZ4" s="19"/>
      <c r="DDD4" s="19"/>
      <c r="DDH4" s="19"/>
      <c r="DDL4" s="19"/>
      <c r="DDP4" s="19"/>
      <c r="DDT4" s="19"/>
      <c r="DDX4" s="19"/>
      <c r="DEB4" s="19"/>
      <c r="DEF4" s="19"/>
      <c r="DEJ4" s="19"/>
      <c r="DEN4" s="19"/>
      <c r="DER4" s="19"/>
      <c r="DEV4" s="19"/>
      <c r="DEZ4" s="19"/>
      <c r="DFD4" s="19"/>
      <c r="DFH4" s="19"/>
      <c r="DFL4" s="19"/>
      <c r="DFP4" s="19"/>
      <c r="DFT4" s="19"/>
      <c r="DFX4" s="19"/>
      <c r="DGB4" s="19"/>
      <c r="DGF4" s="19"/>
      <c r="DGJ4" s="19"/>
      <c r="DGN4" s="19"/>
      <c r="DGR4" s="19"/>
      <c r="DGV4" s="19"/>
      <c r="DGZ4" s="19"/>
      <c r="DHD4" s="19"/>
      <c r="DHH4" s="19"/>
      <c r="DHL4" s="19"/>
      <c r="DHP4" s="19"/>
      <c r="DHT4" s="19"/>
      <c r="DHX4" s="19"/>
      <c r="DIB4" s="19"/>
      <c r="DIF4" s="19"/>
      <c r="DIJ4" s="19"/>
      <c r="DIN4" s="19"/>
      <c r="DIR4" s="19"/>
      <c r="DIV4" s="19"/>
      <c r="DIZ4" s="19"/>
      <c r="DJD4" s="19"/>
      <c r="DJH4" s="19"/>
      <c r="DJL4" s="19"/>
      <c r="DJP4" s="19"/>
      <c r="DJT4" s="19"/>
      <c r="DJX4" s="19"/>
      <c r="DKB4" s="19"/>
      <c r="DKF4" s="19"/>
      <c r="DKJ4" s="19"/>
      <c r="DKN4" s="19"/>
      <c r="DKR4" s="19"/>
      <c r="DKV4" s="19"/>
      <c r="DKZ4" s="19"/>
      <c r="DLD4" s="19"/>
      <c r="DLH4" s="19"/>
      <c r="DLL4" s="19"/>
      <c r="DLP4" s="19"/>
      <c r="DLT4" s="19"/>
      <c r="DLX4" s="19"/>
      <c r="DMB4" s="19"/>
      <c r="DMF4" s="19"/>
      <c r="DMJ4" s="19"/>
      <c r="DMN4" s="19"/>
      <c r="DMR4" s="19"/>
      <c r="DMV4" s="19"/>
      <c r="DMZ4" s="19"/>
      <c r="DND4" s="19"/>
      <c r="DNH4" s="19"/>
      <c r="DNL4" s="19"/>
      <c r="DNP4" s="19"/>
      <c r="DNT4" s="19"/>
      <c r="DNX4" s="19"/>
      <c r="DOB4" s="19"/>
      <c r="DOF4" s="19"/>
      <c r="DOJ4" s="19"/>
      <c r="DON4" s="19"/>
      <c r="DOR4" s="19"/>
      <c r="DOV4" s="19"/>
      <c r="DOZ4" s="19"/>
      <c r="DPD4" s="19"/>
      <c r="DPH4" s="19"/>
      <c r="DPL4" s="19"/>
      <c r="DPP4" s="19"/>
      <c r="DPT4" s="19"/>
      <c r="DPX4" s="19"/>
      <c r="DQB4" s="19"/>
      <c r="DQF4" s="19"/>
      <c r="DQJ4" s="19"/>
      <c r="DQN4" s="19"/>
      <c r="DQR4" s="19"/>
      <c r="DQV4" s="19"/>
      <c r="DQZ4" s="19"/>
      <c r="DRD4" s="19"/>
      <c r="DRH4" s="19"/>
      <c r="DRL4" s="19"/>
      <c r="DRP4" s="19"/>
      <c r="DRT4" s="19"/>
      <c r="DRX4" s="19"/>
      <c r="DSB4" s="19"/>
      <c r="DSF4" s="19"/>
      <c r="DSJ4" s="19"/>
      <c r="DSN4" s="19"/>
      <c r="DSR4" s="19"/>
      <c r="DSV4" s="19"/>
      <c r="DSZ4" s="19"/>
      <c r="DTD4" s="19"/>
      <c r="DTH4" s="19"/>
      <c r="DTL4" s="19"/>
      <c r="DTP4" s="19"/>
      <c r="DTT4" s="19"/>
      <c r="DTX4" s="19"/>
      <c r="DUB4" s="19"/>
      <c r="DUF4" s="19"/>
      <c r="DUJ4" s="19"/>
      <c r="DUN4" s="19"/>
      <c r="DUR4" s="19"/>
      <c r="DUV4" s="19"/>
      <c r="DUZ4" s="19"/>
      <c r="DVD4" s="19"/>
      <c r="DVH4" s="19"/>
      <c r="DVL4" s="19"/>
      <c r="DVP4" s="19"/>
      <c r="DVT4" s="19"/>
      <c r="DVX4" s="19"/>
      <c r="DWB4" s="19"/>
      <c r="DWF4" s="19"/>
      <c r="DWJ4" s="19"/>
      <c r="DWN4" s="19"/>
      <c r="DWR4" s="19"/>
      <c r="DWV4" s="19"/>
      <c r="DWZ4" s="19"/>
      <c r="DXD4" s="19"/>
      <c r="DXH4" s="19"/>
      <c r="DXL4" s="19"/>
      <c r="DXP4" s="19"/>
      <c r="DXT4" s="19"/>
      <c r="DXX4" s="19"/>
      <c r="DYB4" s="19"/>
      <c r="DYF4" s="19"/>
      <c r="DYJ4" s="19"/>
      <c r="DYN4" s="19"/>
      <c r="DYR4" s="19"/>
      <c r="DYV4" s="19"/>
      <c r="DYZ4" s="19"/>
      <c r="DZD4" s="19"/>
      <c r="DZH4" s="19"/>
      <c r="DZL4" s="19"/>
      <c r="DZP4" s="19"/>
      <c r="DZT4" s="19"/>
      <c r="DZX4" s="19"/>
      <c r="EAB4" s="19"/>
      <c r="EAF4" s="19"/>
      <c r="EAJ4" s="19"/>
      <c r="EAN4" s="19"/>
      <c r="EAR4" s="19"/>
      <c r="EAV4" s="19"/>
      <c r="EAZ4" s="19"/>
      <c r="EBD4" s="19"/>
      <c r="EBH4" s="19"/>
      <c r="EBL4" s="19"/>
      <c r="EBP4" s="19"/>
      <c r="EBT4" s="19"/>
      <c r="EBX4" s="19"/>
      <c r="ECB4" s="19"/>
      <c r="ECF4" s="19"/>
      <c r="ECJ4" s="19"/>
      <c r="ECN4" s="19"/>
      <c r="ECR4" s="19"/>
      <c r="ECV4" s="19"/>
      <c r="ECZ4" s="19"/>
      <c r="EDD4" s="19"/>
      <c r="EDH4" s="19"/>
      <c r="EDL4" s="19"/>
      <c r="EDP4" s="19"/>
      <c r="EDT4" s="19"/>
      <c r="EDX4" s="19"/>
      <c r="EEB4" s="19"/>
      <c r="EEF4" s="19"/>
      <c r="EEJ4" s="19"/>
      <c r="EEN4" s="19"/>
      <c r="EER4" s="19"/>
      <c r="EEV4" s="19"/>
      <c r="EEZ4" s="19"/>
      <c r="EFD4" s="19"/>
      <c r="EFH4" s="19"/>
      <c r="EFL4" s="19"/>
      <c r="EFP4" s="19"/>
      <c r="EFT4" s="19"/>
      <c r="EFX4" s="19"/>
      <c r="EGB4" s="19"/>
      <c r="EGF4" s="19"/>
      <c r="EGJ4" s="19"/>
      <c r="EGN4" s="19"/>
      <c r="EGR4" s="19"/>
      <c r="EGV4" s="19"/>
      <c r="EGZ4" s="19"/>
      <c r="EHD4" s="19"/>
      <c r="EHH4" s="19"/>
      <c r="EHL4" s="19"/>
      <c r="EHP4" s="19"/>
      <c r="EHT4" s="19"/>
      <c r="EHX4" s="19"/>
      <c r="EIB4" s="19"/>
      <c r="EIF4" s="19"/>
      <c r="EIJ4" s="19"/>
      <c r="EIN4" s="19"/>
      <c r="EIR4" s="19"/>
      <c r="EIV4" s="19"/>
      <c r="EIZ4" s="19"/>
      <c r="EJD4" s="19"/>
      <c r="EJH4" s="19"/>
      <c r="EJL4" s="19"/>
      <c r="EJP4" s="19"/>
      <c r="EJT4" s="19"/>
      <c r="EJX4" s="19"/>
      <c r="EKB4" s="19"/>
      <c r="EKF4" s="19"/>
      <c r="EKJ4" s="19"/>
      <c r="EKN4" s="19"/>
      <c r="EKR4" s="19"/>
      <c r="EKV4" s="19"/>
      <c r="EKZ4" s="19"/>
      <c r="ELD4" s="19"/>
      <c r="ELH4" s="19"/>
      <c r="ELL4" s="19"/>
      <c r="ELP4" s="19"/>
      <c r="ELT4" s="19"/>
      <c r="ELX4" s="19"/>
      <c r="EMB4" s="19"/>
      <c r="EMF4" s="19"/>
      <c r="EMJ4" s="19"/>
      <c r="EMN4" s="19"/>
      <c r="EMR4" s="19"/>
      <c r="EMV4" s="19"/>
      <c r="EMZ4" s="19"/>
      <c r="END4" s="19"/>
      <c r="ENH4" s="19"/>
      <c r="ENL4" s="19"/>
      <c r="ENP4" s="19"/>
      <c r="ENT4" s="19"/>
      <c r="ENX4" s="19"/>
      <c r="EOB4" s="19"/>
      <c r="EOF4" s="19"/>
      <c r="EOJ4" s="19"/>
      <c r="EON4" s="19"/>
      <c r="EOR4" s="19"/>
      <c r="EOV4" s="19"/>
      <c r="EOZ4" s="19"/>
      <c r="EPD4" s="19"/>
      <c r="EPH4" s="19"/>
      <c r="EPL4" s="19"/>
      <c r="EPP4" s="19"/>
      <c r="EPT4" s="19"/>
      <c r="EPX4" s="19"/>
      <c r="EQB4" s="19"/>
      <c r="EQF4" s="19"/>
      <c r="EQJ4" s="19"/>
      <c r="EQN4" s="19"/>
      <c r="EQR4" s="19"/>
      <c r="EQV4" s="19"/>
      <c r="EQZ4" s="19"/>
      <c r="ERD4" s="19"/>
      <c r="ERH4" s="19"/>
      <c r="ERL4" s="19"/>
      <c r="ERP4" s="19"/>
      <c r="ERT4" s="19"/>
      <c r="ERX4" s="19"/>
      <c r="ESB4" s="19"/>
      <c r="ESF4" s="19"/>
      <c r="ESJ4" s="19"/>
      <c r="ESN4" s="19"/>
      <c r="ESR4" s="19"/>
      <c r="ESV4" s="19"/>
      <c r="ESZ4" s="19"/>
      <c r="ETD4" s="19"/>
      <c r="ETH4" s="19"/>
      <c r="ETL4" s="19"/>
      <c r="ETP4" s="19"/>
      <c r="ETT4" s="19"/>
      <c r="ETX4" s="19"/>
      <c r="EUB4" s="19"/>
      <c r="EUF4" s="19"/>
      <c r="EUJ4" s="19"/>
      <c r="EUN4" s="19"/>
      <c r="EUR4" s="19"/>
      <c r="EUV4" s="19"/>
      <c r="EUZ4" s="19"/>
      <c r="EVD4" s="19"/>
      <c r="EVH4" s="19"/>
      <c r="EVL4" s="19"/>
      <c r="EVP4" s="19"/>
      <c r="EVT4" s="19"/>
      <c r="EVX4" s="19"/>
      <c r="EWB4" s="19"/>
      <c r="EWF4" s="19"/>
      <c r="EWJ4" s="19"/>
      <c r="EWN4" s="19"/>
      <c r="EWR4" s="19"/>
      <c r="EWV4" s="19"/>
      <c r="EWZ4" s="19"/>
      <c r="EXD4" s="19"/>
      <c r="EXH4" s="19"/>
      <c r="EXL4" s="19"/>
      <c r="EXP4" s="19"/>
      <c r="EXT4" s="19"/>
      <c r="EXX4" s="19"/>
      <c r="EYB4" s="19"/>
      <c r="EYF4" s="19"/>
      <c r="EYJ4" s="19"/>
      <c r="EYN4" s="19"/>
      <c r="EYR4" s="19"/>
      <c r="EYV4" s="19"/>
      <c r="EYZ4" s="19"/>
      <c r="EZD4" s="19"/>
      <c r="EZH4" s="19"/>
      <c r="EZL4" s="19"/>
      <c r="EZP4" s="19"/>
      <c r="EZT4" s="19"/>
      <c r="EZX4" s="19"/>
      <c r="FAB4" s="19"/>
      <c r="FAF4" s="19"/>
      <c r="FAJ4" s="19"/>
      <c r="FAN4" s="19"/>
      <c r="FAR4" s="19"/>
      <c r="FAV4" s="19"/>
      <c r="FAZ4" s="19"/>
      <c r="FBD4" s="19"/>
      <c r="FBH4" s="19"/>
      <c r="FBL4" s="19"/>
      <c r="FBP4" s="19"/>
      <c r="FBT4" s="19"/>
      <c r="FBX4" s="19"/>
      <c r="FCB4" s="19"/>
      <c r="FCF4" s="19"/>
      <c r="FCJ4" s="19"/>
      <c r="FCN4" s="19"/>
      <c r="FCR4" s="19"/>
      <c r="FCV4" s="19"/>
      <c r="FCZ4" s="19"/>
      <c r="FDD4" s="19"/>
      <c r="FDH4" s="19"/>
      <c r="FDL4" s="19"/>
      <c r="FDP4" s="19"/>
      <c r="FDT4" s="19"/>
      <c r="FDX4" s="19"/>
      <c r="FEB4" s="19"/>
      <c r="FEF4" s="19"/>
      <c r="FEJ4" s="19"/>
      <c r="FEN4" s="19"/>
      <c r="FER4" s="19"/>
      <c r="FEV4" s="19"/>
      <c r="FEZ4" s="19"/>
      <c r="FFD4" s="19"/>
      <c r="FFH4" s="19"/>
      <c r="FFL4" s="19"/>
      <c r="FFP4" s="19"/>
      <c r="FFT4" s="19"/>
      <c r="FFX4" s="19"/>
      <c r="FGB4" s="19"/>
      <c r="FGF4" s="19"/>
      <c r="FGJ4" s="19"/>
      <c r="FGN4" s="19"/>
      <c r="FGR4" s="19"/>
      <c r="FGV4" s="19"/>
      <c r="FGZ4" s="19"/>
      <c r="FHD4" s="19"/>
      <c r="FHH4" s="19"/>
      <c r="FHL4" s="19"/>
      <c r="FHP4" s="19"/>
      <c r="FHT4" s="19"/>
      <c r="FHX4" s="19"/>
      <c r="FIB4" s="19"/>
      <c r="FIF4" s="19"/>
      <c r="FIJ4" s="19"/>
      <c r="FIN4" s="19"/>
      <c r="FIR4" s="19"/>
      <c r="FIV4" s="19"/>
      <c r="FIZ4" s="19"/>
      <c r="FJD4" s="19"/>
      <c r="FJH4" s="19"/>
      <c r="FJL4" s="19"/>
      <c r="FJP4" s="19"/>
      <c r="FJT4" s="19"/>
      <c r="FJX4" s="19"/>
      <c r="FKB4" s="19"/>
      <c r="FKF4" s="19"/>
      <c r="FKJ4" s="19"/>
      <c r="FKN4" s="19"/>
      <c r="FKR4" s="19"/>
      <c r="FKV4" s="19"/>
      <c r="FKZ4" s="19"/>
      <c r="FLD4" s="19"/>
      <c r="FLH4" s="19"/>
      <c r="FLL4" s="19"/>
      <c r="FLP4" s="19"/>
      <c r="FLT4" s="19"/>
      <c r="FLX4" s="19"/>
      <c r="FMB4" s="19"/>
      <c r="FMF4" s="19"/>
      <c r="FMJ4" s="19"/>
      <c r="FMN4" s="19"/>
      <c r="FMR4" s="19"/>
      <c r="FMV4" s="19"/>
      <c r="FMZ4" s="19"/>
      <c r="FND4" s="19"/>
      <c r="FNH4" s="19"/>
      <c r="FNL4" s="19"/>
      <c r="FNP4" s="19"/>
      <c r="FNT4" s="19"/>
      <c r="FNX4" s="19"/>
      <c r="FOB4" s="19"/>
      <c r="FOF4" s="19"/>
      <c r="FOJ4" s="19"/>
      <c r="FON4" s="19"/>
      <c r="FOR4" s="19"/>
      <c r="FOV4" s="19"/>
      <c r="FOZ4" s="19"/>
      <c r="FPD4" s="19"/>
      <c r="FPH4" s="19"/>
      <c r="FPL4" s="19"/>
      <c r="FPP4" s="19"/>
      <c r="FPT4" s="19"/>
      <c r="FPX4" s="19"/>
      <c r="FQB4" s="19"/>
      <c r="FQF4" s="19"/>
      <c r="FQJ4" s="19"/>
      <c r="FQN4" s="19"/>
      <c r="FQR4" s="19"/>
      <c r="FQV4" s="19"/>
      <c r="FQZ4" s="19"/>
      <c r="FRD4" s="19"/>
      <c r="FRH4" s="19"/>
      <c r="FRL4" s="19"/>
      <c r="FRP4" s="19"/>
      <c r="FRT4" s="19"/>
      <c r="FRX4" s="19"/>
      <c r="FSB4" s="19"/>
      <c r="FSF4" s="19"/>
      <c r="FSJ4" s="19"/>
      <c r="FSN4" s="19"/>
      <c r="FSR4" s="19"/>
      <c r="FSV4" s="19"/>
      <c r="FSZ4" s="19"/>
      <c r="FTD4" s="19"/>
      <c r="FTH4" s="19"/>
      <c r="FTL4" s="19"/>
      <c r="FTP4" s="19"/>
      <c r="FTT4" s="19"/>
      <c r="FTX4" s="19"/>
      <c r="FUB4" s="19"/>
      <c r="FUF4" s="19"/>
      <c r="FUJ4" s="19"/>
      <c r="FUN4" s="19"/>
      <c r="FUR4" s="19"/>
      <c r="FUV4" s="19"/>
      <c r="FUZ4" s="19"/>
      <c r="FVD4" s="19"/>
      <c r="FVH4" s="19"/>
      <c r="FVL4" s="19"/>
      <c r="FVP4" s="19"/>
      <c r="FVT4" s="19"/>
      <c r="FVX4" s="19"/>
      <c r="FWB4" s="19"/>
      <c r="FWF4" s="19"/>
      <c r="FWJ4" s="19"/>
      <c r="FWN4" s="19"/>
      <c r="FWR4" s="19"/>
      <c r="FWV4" s="19"/>
      <c r="FWZ4" s="19"/>
      <c r="FXD4" s="19"/>
      <c r="FXH4" s="19"/>
      <c r="FXL4" s="19"/>
      <c r="FXP4" s="19"/>
      <c r="FXT4" s="19"/>
      <c r="FXX4" s="19"/>
      <c r="FYB4" s="19"/>
      <c r="FYF4" s="19"/>
      <c r="FYJ4" s="19"/>
      <c r="FYN4" s="19"/>
      <c r="FYR4" s="19"/>
      <c r="FYV4" s="19"/>
      <c r="FYZ4" s="19"/>
      <c r="FZD4" s="19"/>
      <c r="FZH4" s="19"/>
      <c r="FZL4" s="19"/>
      <c r="FZP4" s="19"/>
      <c r="FZT4" s="19"/>
      <c r="FZX4" s="19"/>
      <c r="GAB4" s="19"/>
      <c r="GAF4" s="19"/>
      <c r="GAJ4" s="19"/>
      <c r="GAN4" s="19"/>
      <c r="GAR4" s="19"/>
      <c r="GAV4" s="19"/>
      <c r="GAZ4" s="19"/>
      <c r="GBD4" s="19"/>
      <c r="GBH4" s="19"/>
      <c r="GBL4" s="19"/>
      <c r="GBP4" s="19"/>
      <c r="GBT4" s="19"/>
      <c r="GBX4" s="19"/>
      <c r="GCB4" s="19"/>
      <c r="GCF4" s="19"/>
      <c r="GCJ4" s="19"/>
      <c r="GCN4" s="19"/>
      <c r="GCR4" s="19"/>
      <c r="GCV4" s="19"/>
      <c r="GCZ4" s="19"/>
      <c r="GDD4" s="19"/>
      <c r="GDH4" s="19"/>
      <c r="GDL4" s="19"/>
      <c r="GDP4" s="19"/>
      <c r="GDT4" s="19"/>
      <c r="GDX4" s="19"/>
      <c r="GEB4" s="19"/>
      <c r="GEF4" s="19"/>
      <c r="GEJ4" s="19"/>
      <c r="GEN4" s="19"/>
      <c r="GER4" s="19"/>
      <c r="GEV4" s="19"/>
      <c r="GEZ4" s="19"/>
      <c r="GFD4" s="19"/>
      <c r="GFH4" s="19"/>
      <c r="GFL4" s="19"/>
      <c r="GFP4" s="19"/>
      <c r="GFT4" s="19"/>
      <c r="GFX4" s="19"/>
      <c r="GGB4" s="19"/>
      <c r="GGF4" s="19"/>
      <c r="GGJ4" s="19"/>
      <c r="GGN4" s="19"/>
      <c r="GGR4" s="19"/>
      <c r="GGV4" s="19"/>
      <c r="GGZ4" s="19"/>
      <c r="GHD4" s="19"/>
      <c r="GHH4" s="19"/>
      <c r="GHL4" s="19"/>
      <c r="GHP4" s="19"/>
      <c r="GHT4" s="19"/>
      <c r="GHX4" s="19"/>
      <c r="GIB4" s="19"/>
      <c r="GIF4" s="19"/>
      <c r="GIJ4" s="19"/>
      <c r="GIN4" s="19"/>
      <c r="GIR4" s="19"/>
      <c r="GIV4" s="19"/>
      <c r="GIZ4" s="19"/>
      <c r="GJD4" s="19"/>
      <c r="GJH4" s="19"/>
      <c r="GJL4" s="19"/>
      <c r="GJP4" s="19"/>
      <c r="GJT4" s="19"/>
      <c r="GJX4" s="19"/>
      <c r="GKB4" s="19"/>
      <c r="GKF4" s="19"/>
      <c r="GKJ4" s="19"/>
      <c r="GKN4" s="19"/>
      <c r="GKR4" s="19"/>
      <c r="GKV4" s="19"/>
      <c r="GKZ4" s="19"/>
      <c r="GLD4" s="19"/>
      <c r="GLH4" s="19"/>
      <c r="GLL4" s="19"/>
      <c r="GLP4" s="19"/>
      <c r="GLT4" s="19"/>
      <c r="GLX4" s="19"/>
      <c r="GMB4" s="19"/>
      <c r="GMF4" s="19"/>
      <c r="GMJ4" s="19"/>
      <c r="GMN4" s="19"/>
      <c r="GMR4" s="19"/>
      <c r="GMV4" s="19"/>
      <c r="GMZ4" s="19"/>
      <c r="GND4" s="19"/>
      <c r="GNH4" s="19"/>
      <c r="GNL4" s="19"/>
      <c r="GNP4" s="19"/>
      <c r="GNT4" s="19"/>
      <c r="GNX4" s="19"/>
      <c r="GOB4" s="19"/>
      <c r="GOF4" s="19"/>
      <c r="GOJ4" s="19"/>
      <c r="GON4" s="19"/>
      <c r="GOR4" s="19"/>
      <c r="GOV4" s="19"/>
      <c r="GOZ4" s="19"/>
      <c r="GPD4" s="19"/>
      <c r="GPH4" s="19"/>
      <c r="GPL4" s="19"/>
      <c r="GPP4" s="19"/>
      <c r="GPT4" s="19"/>
      <c r="GPX4" s="19"/>
      <c r="GQB4" s="19"/>
      <c r="GQF4" s="19"/>
      <c r="GQJ4" s="19"/>
      <c r="GQN4" s="19"/>
      <c r="GQR4" s="19"/>
      <c r="GQV4" s="19"/>
      <c r="GQZ4" s="19"/>
      <c r="GRD4" s="19"/>
      <c r="GRH4" s="19"/>
      <c r="GRL4" s="19"/>
      <c r="GRP4" s="19"/>
      <c r="GRT4" s="19"/>
      <c r="GRX4" s="19"/>
      <c r="GSB4" s="19"/>
      <c r="GSF4" s="19"/>
      <c r="GSJ4" s="19"/>
      <c r="GSN4" s="19"/>
      <c r="GSR4" s="19"/>
      <c r="GSV4" s="19"/>
      <c r="GSZ4" s="19"/>
      <c r="GTD4" s="19"/>
      <c r="GTH4" s="19"/>
      <c r="GTL4" s="19"/>
      <c r="GTP4" s="19"/>
      <c r="GTT4" s="19"/>
      <c r="GTX4" s="19"/>
      <c r="GUB4" s="19"/>
      <c r="GUF4" s="19"/>
      <c r="GUJ4" s="19"/>
      <c r="GUN4" s="19"/>
      <c r="GUR4" s="19"/>
      <c r="GUV4" s="19"/>
      <c r="GUZ4" s="19"/>
      <c r="GVD4" s="19"/>
      <c r="GVH4" s="19"/>
      <c r="GVL4" s="19"/>
      <c r="GVP4" s="19"/>
      <c r="GVT4" s="19"/>
      <c r="GVX4" s="19"/>
      <c r="GWB4" s="19"/>
      <c r="GWF4" s="19"/>
      <c r="GWJ4" s="19"/>
      <c r="GWN4" s="19"/>
      <c r="GWR4" s="19"/>
      <c r="GWV4" s="19"/>
      <c r="GWZ4" s="19"/>
      <c r="GXD4" s="19"/>
      <c r="GXH4" s="19"/>
      <c r="GXL4" s="19"/>
      <c r="GXP4" s="19"/>
      <c r="GXT4" s="19"/>
      <c r="GXX4" s="19"/>
      <c r="GYB4" s="19"/>
      <c r="GYF4" s="19"/>
      <c r="GYJ4" s="19"/>
      <c r="GYN4" s="19"/>
      <c r="GYR4" s="19"/>
      <c r="GYV4" s="19"/>
      <c r="GYZ4" s="19"/>
      <c r="GZD4" s="19"/>
      <c r="GZH4" s="19"/>
      <c r="GZL4" s="19"/>
      <c r="GZP4" s="19"/>
      <c r="GZT4" s="19"/>
      <c r="GZX4" s="19"/>
      <c r="HAB4" s="19"/>
      <c r="HAF4" s="19"/>
      <c r="HAJ4" s="19"/>
      <c r="HAN4" s="19"/>
      <c r="HAR4" s="19"/>
      <c r="HAV4" s="19"/>
      <c r="HAZ4" s="19"/>
      <c r="HBD4" s="19"/>
      <c r="HBH4" s="19"/>
      <c r="HBL4" s="19"/>
      <c r="HBP4" s="19"/>
      <c r="HBT4" s="19"/>
      <c r="HBX4" s="19"/>
      <c r="HCB4" s="19"/>
      <c r="HCF4" s="19"/>
      <c r="HCJ4" s="19"/>
      <c r="HCN4" s="19"/>
      <c r="HCR4" s="19"/>
      <c r="HCV4" s="19"/>
      <c r="HCZ4" s="19"/>
      <c r="HDD4" s="19"/>
      <c r="HDH4" s="19"/>
      <c r="HDL4" s="19"/>
      <c r="HDP4" s="19"/>
      <c r="HDT4" s="19"/>
      <c r="HDX4" s="19"/>
      <c r="HEB4" s="19"/>
      <c r="HEF4" s="19"/>
      <c r="HEJ4" s="19"/>
      <c r="HEN4" s="19"/>
      <c r="HER4" s="19"/>
      <c r="HEV4" s="19"/>
      <c r="HEZ4" s="19"/>
      <c r="HFD4" s="19"/>
      <c r="HFH4" s="19"/>
      <c r="HFL4" s="19"/>
      <c r="HFP4" s="19"/>
      <c r="HFT4" s="19"/>
      <c r="HFX4" s="19"/>
      <c r="HGB4" s="19"/>
      <c r="HGF4" s="19"/>
      <c r="HGJ4" s="19"/>
      <c r="HGN4" s="19"/>
      <c r="HGR4" s="19"/>
      <c r="HGV4" s="19"/>
      <c r="HGZ4" s="19"/>
      <c r="HHD4" s="19"/>
      <c r="HHH4" s="19"/>
      <c r="HHL4" s="19"/>
      <c r="HHP4" s="19"/>
      <c r="HHT4" s="19"/>
      <c r="HHX4" s="19"/>
      <c r="HIB4" s="19"/>
      <c r="HIF4" s="19"/>
      <c r="HIJ4" s="19"/>
      <c r="HIN4" s="19"/>
      <c r="HIR4" s="19"/>
      <c r="HIV4" s="19"/>
      <c r="HIZ4" s="19"/>
      <c r="HJD4" s="19"/>
      <c r="HJH4" s="19"/>
      <c r="HJL4" s="19"/>
      <c r="HJP4" s="19"/>
      <c r="HJT4" s="19"/>
      <c r="HJX4" s="19"/>
      <c r="HKB4" s="19"/>
      <c r="HKF4" s="19"/>
      <c r="HKJ4" s="19"/>
      <c r="HKN4" s="19"/>
      <c r="HKR4" s="19"/>
      <c r="HKV4" s="19"/>
      <c r="HKZ4" s="19"/>
      <c r="HLD4" s="19"/>
      <c r="HLH4" s="19"/>
      <c r="HLL4" s="19"/>
      <c r="HLP4" s="19"/>
      <c r="HLT4" s="19"/>
      <c r="HLX4" s="19"/>
      <c r="HMB4" s="19"/>
      <c r="HMF4" s="19"/>
      <c r="HMJ4" s="19"/>
      <c r="HMN4" s="19"/>
      <c r="HMR4" s="19"/>
      <c r="HMV4" s="19"/>
      <c r="HMZ4" s="19"/>
      <c r="HND4" s="19"/>
      <c r="HNH4" s="19"/>
      <c r="HNL4" s="19"/>
      <c r="HNP4" s="19"/>
      <c r="HNT4" s="19"/>
      <c r="HNX4" s="19"/>
      <c r="HOB4" s="19"/>
      <c r="HOF4" s="19"/>
      <c r="HOJ4" s="19"/>
      <c r="HON4" s="19"/>
      <c r="HOR4" s="19"/>
      <c r="HOV4" s="19"/>
      <c r="HOZ4" s="19"/>
      <c r="HPD4" s="19"/>
      <c r="HPH4" s="19"/>
      <c r="HPL4" s="19"/>
      <c r="HPP4" s="19"/>
      <c r="HPT4" s="19"/>
      <c r="HPX4" s="19"/>
      <c r="HQB4" s="19"/>
      <c r="HQF4" s="19"/>
      <c r="HQJ4" s="19"/>
      <c r="HQN4" s="19"/>
      <c r="HQR4" s="19"/>
      <c r="HQV4" s="19"/>
      <c r="HQZ4" s="19"/>
      <c r="HRD4" s="19"/>
      <c r="HRH4" s="19"/>
      <c r="HRL4" s="19"/>
      <c r="HRP4" s="19"/>
      <c r="HRT4" s="19"/>
      <c r="HRX4" s="19"/>
      <c r="HSB4" s="19"/>
      <c r="HSF4" s="19"/>
      <c r="HSJ4" s="19"/>
      <c r="HSN4" s="19"/>
      <c r="HSR4" s="19"/>
      <c r="HSV4" s="19"/>
      <c r="HSZ4" s="19"/>
      <c r="HTD4" s="19"/>
      <c r="HTH4" s="19"/>
      <c r="HTL4" s="19"/>
      <c r="HTP4" s="19"/>
      <c r="HTT4" s="19"/>
      <c r="HTX4" s="19"/>
      <c r="HUB4" s="19"/>
      <c r="HUF4" s="19"/>
      <c r="HUJ4" s="19"/>
      <c r="HUN4" s="19"/>
      <c r="HUR4" s="19"/>
      <c r="HUV4" s="19"/>
      <c r="HUZ4" s="19"/>
      <c r="HVD4" s="19"/>
      <c r="HVH4" s="19"/>
      <c r="HVL4" s="19"/>
      <c r="HVP4" s="19"/>
      <c r="HVT4" s="19"/>
      <c r="HVX4" s="19"/>
      <c r="HWB4" s="19"/>
      <c r="HWF4" s="19"/>
      <c r="HWJ4" s="19"/>
      <c r="HWN4" s="19"/>
      <c r="HWR4" s="19"/>
      <c r="HWV4" s="19"/>
      <c r="HWZ4" s="19"/>
      <c r="HXD4" s="19"/>
      <c r="HXH4" s="19"/>
      <c r="HXL4" s="19"/>
      <c r="HXP4" s="19"/>
      <c r="HXT4" s="19"/>
      <c r="HXX4" s="19"/>
      <c r="HYB4" s="19"/>
      <c r="HYF4" s="19"/>
      <c r="HYJ4" s="19"/>
      <c r="HYN4" s="19"/>
      <c r="HYR4" s="19"/>
      <c r="HYV4" s="19"/>
      <c r="HYZ4" s="19"/>
      <c r="HZD4" s="19"/>
      <c r="HZH4" s="19"/>
      <c r="HZL4" s="19"/>
      <c r="HZP4" s="19"/>
      <c r="HZT4" s="19"/>
      <c r="HZX4" s="19"/>
      <c r="IAB4" s="19"/>
      <c r="IAF4" s="19"/>
      <c r="IAJ4" s="19"/>
      <c r="IAN4" s="19"/>
      <c r="IAR4" s="19"/>
      <c r="IAV4" s="19"/>
      <c r="IAZ4" s="19"/>
      <c r="IBD4" s="19"/>
      <c r="IBH4" s="19"/>
      <c r="IBL4" s="19"/>
      <c r="IBP4" s="19"/>
      <c r="IBT4" s="19"/>
      <c r="IBX4" s="19"/>
      <c r="ICB4" s="19"/>
      <c r="ICF4" s="19"/>
      <c r="ICJ4" s="19"/>
      <c r="ICN4" s="19"/>
      <c r="ICR4" s="19"/>
      <c r="ICV4" s="19"/>
      <c r="ICZ4" s="19"/>
      <c r="IDD4" s="19"/>
      <c r="IDH4" s="19"/>
      <c r="IDL4" s="19"/>
      <c r="IDP4" s="19"/>
      <c r="IDT4" s="19"/>
      <c r="IDX4" s="19"/>
      <c r="IEB4" s="19"/>
      <c r="IEF4" s="19"/>
      <c r="IEJ4" s="19"/>
      <c r="IEN4" s="19"/>
      <c r="IER4" s="19"/>
      <c r="IEV4" s="19"/>
      <c r="IEZ4" s="19"/>
      <c r="IFD4" s="19"/>
      <c r="IFH4" s="19"/>
      <c r="IFL4" s="19"/>
      <c r="IFP4" s="19"/>
      <c r="IFT4" s="19"/>
      <c r="IFX4" s="19"/>
      <c r="IGB4" s="19"/>
      <c r="IGF4" s="19"/>
      <c r="IGJ4" s="19"/>
      <c r="IGN4" s="19"/>
      <c r="IGR4" s="19"/>
      <c r="IGV4" s="19"/>
      <c r="IGZ4" s="19"/>
      <c r="IHD4" s="19"/>
      <c r="IHH4" s="19"/>
      <c r="IHL4" s="19"/>
      <c r="IHP4" s="19"/>
      <c r="IHT4" s="19"/>
      <c r="IHX4" s="19"/>
      <c r="IIB4" s="19"/>
      <c r="IIF4" s="19"/>
      <c r="IIJ4" s="19"/>
      <c r="IIN4" s="19"/>
      <c r="IIR4" s="19"/>
      <c r="IIV4" s="19"/>
      <c r="IIZ4" s="19"/>
      <c r="IJD4" s="19"/>
      <c r="IJH4" s="19"/>
      <c r="IJL4" s="19"/>
      <c r="IJP4" s="19"/>
      <c r="IJT4" s="19"/>
      <c r="IJX4" s="19"/>
      <c r="IKB4" s="19"/>
      <c r="IKF4" s="19"/>
      <c r="IKJ4" s="19"/>
      <c r="IKN4" s="19"/>
      <c r="IKR4" s="19"/>
      <c r="IKV4" s="19"/>
      <c r="IKZ4" s="19"/>
      <c r="ILD4" s="19"/>
      <c r="ILH4" s="19"/>
      <c r="ILL4" s="19"/>
      <c r="ILP4" s="19"/>
      <c r="ILT4" s="19"/>
      <c r="ILX4" s="19"/>
      <c r="IMB4" s="19"/>
      <c r="IMF4" s="19"/>
      <c r="IMJ4" s="19"/>
      <c r="IMN4" s="19"/>
      <c r="IMR4" s="19"/>
      <c r="IMV4" s="19"/>
      <c r="IMZ4" s="19"/>
      <c r="IND4" s="19"/>
      <c r="INH4" s="19"/>
      <c r="INL4" s="19"/>
      <c r="INP4" s="19"/>
      <c r="INT4" s="19"/>
      <c r="INX4" s="19"/>
      <c r="IOB4" s="19"/>
      <c r="IOF4" s="19"/>
      <c r="IOJ4" s="19"/>
      <c r="ION4" s="19"/>
      <c r="IOR4" s="19"/>
      <c r="IOV4" s="19"/>
      <c r="IOZ4" s="19"/>
      <c r="IPD4" s="19"/>
      <c r="IPH4" s="19"/>
      <c r="IPL4" s="19"/>
      <c r="IPP4" s="19"/>
      <c r="IPT4" s="19"/>
      <c r="IPX4" s="19"/>
      <c r="IQB4" s="19"/>
      <c r="IQF4" s="19"/>
      <c r="IQJ4" s="19"/>
      <c r="IQN4" s="19"/>
      <c r="IQR4" s="19"/>
      <c r="IQV4" s="19"/>
      <c r="IQZ4" s="19"/>
      <c r="IRD4" s="19"/>
      <c r="IRH4" s="19"/>
      <c r="IRL4" s="19"/>
      <c r="IRP4" s="19"/>
      <c r="IRT4" s="19"/>
      <c r="IRX4" s="19"/>
      <c r="ISB4" s="19"/>
      <c r="ISF4" s="19"/>
      <c r="ISJ4" s="19"/>
      <c r="ISN4" s="19"/>
      <c r="ISR4" s="19"/>
      <c r="ISV4" s="19"/>
      <c r="ISZ4" s="19"/>
      <c r="ITD4" s="19"/>
      <c r="ITH4" s="19"/>
      <c r="ITL4" s="19"/>
      <c r="ITP4" s="19"/>
      <c r="ITT4" s="19"/>
      <c r="ITX4" s="19"/>
      <c r="IUB4" s="19"/>
      <c r="IUF4" s="19"/>
      <c r="IUJ4" s="19"/>
      <c r="IUN4" s="19"/>
      <c r="IUR4" s="19"/>
      <c r="IUV4" s="19"/>
      <c r="IUZ4" s="19"/>
      <c r="IVD4" s="19"/>
      <c r="IVH4" s="19"/>
      <c r="IVL4" s="19"/>
      <c r="IVP4" s="19"/>
      <c r="IVT4" s="19"/>
      <c r="IVX4" s="19"/>
      <c r="IWB4" s="19"/>
      <c r="IWF4" s="19"/>
      <c r="IWJ4" s="19"/>
      <c r="IWN4" s="19"/>
      <c r="IWR4" s="19"/>
      <c r="IWV4" s="19"/>
      <c r="IWZ4" s="19"/>
      <c r="IXD4" s="19"/>
      <c r="IXH4" s="19"/>
      <c r="IXL4" s="19"/>
      <c r="IXP4" s="19"/>
      <c r="IXT4" s="19"/>
      <c r="IXX4" s="19"/>
      <c r="IYB4" s="19"/>
      <c r="IYF4" s="19"/>
      <c r="IYJ4" s="19"/>
      <c r="IYN4" s="19"/>
      <c r="IYR4" s="19"/>
      <c r="IYV4" s="19"/>
      <c r="IYZ4" s="19"/>
      <c r="IZD4" s="19"/>
      <c r="IZH4" s="19"/>
      <c r="IZL4" s="19"/>
      <c r="IZP4" s="19"/>
      <c r="IZT4" s="19"/>
      <c r="IZX4" s="19"/>
      <c r="JAB4" s="19"/>
      <c r="JAF4" s="19"/>
      <c r="JAJ4" s="19"/>
      <c r="JAN4" s="19"/>
      <c r="JAR4" s="19"/>
      <c r="JAV4" s="19"/>
      <c r="JAZ4" s="19"/>
      <c r="JBD4" s="19"/>
      <c r="JBH4" s="19"/>
      <c r="JBL4" s="19"/>
      <c r="JBP4" s="19"/>
      <c r="JBT4" s="19"/>
      <c r="JBX4" s="19"/>
      <c r="JCB4" s="19"/>
      <c r="JCF4" s="19"/>
      <c r="JCJ4" s="19"/>
      <c r="JCN4" s="19"/>
      <c r="JCR4" s="19"/>
      <c r="JCV4" s="19"/>
      <c r="JCZ4" s="19"/>
      <c r="JDD4" s="19"/>
      <c r="JDH4" s="19"/>
      <c r="JDL4" s="19"/>
      <c r="JDP4" s="19"/>
      <c r="JDT4" s="19"/>
      <c r="JDX4" s="19"/>
      <c r="JEB4" s="19"/>
      <c r="JEF4" s="19"/>
      <c r="JEJ4" s="19"/>
      <c r="JEN4" s="19"/>
      <c r="JER4" s="19"/>
      <c r="JEV4" s="19"/>
      <c r="JEZ4" s="19"/>
      <c r="JFD4" s="19"/>
      <c r="JFH4" s="19"/>
      <c r="JFL4" s="19"/>
      <c r="JFP4" s="19"/>
      <c r="JFT4" s="19"/>
      <c r="JFX4" s="19"/>
      <c r="JGB4" s="19"/>
      <c r="JGF4" s="19"/>
      <c r="JGJ4" s="19"/>
      <c r="JGN4" s="19"/>
      <c r="JGR4" s="19"/>
      <c r="JGV4" s="19"/>
      <c r="JGZ4" s="19"/>
      <c r="JHD4" s="19"/>
      <c r="JHH4" s="19"/>
      <c r="JHL4" s="19"/>
      <c r="JHP4" s="19"/>
      <c r="JHT4" s="19"/>
      <c r="JHX4" s="19"/>
      <c r="JIB4" s="19"/>
      <c r="JIF4" s="19"/>
      <c r="JIJ4" s="19"/>
      <c r="JIN4" s="19"/>
      <c r="JIR4" s="19"/>
      <c r="JIV4" s="19"/>
      <c r="JIZ4" s="19"/>
      <c r="JJD4" s="19"/>
      <c r="JJH4" s="19"/>
      <c r="JJL4" s="19"/>
      <c r="JJP4" s="19"/>
      <c r="JJT4" s="19"/>
      <c r="JJX4" s="19"/>
      <c r="JKB4" s="19"/>
      <c r="JKF4" s="19"/>
      <c r="JKJ4" s="19"/>
      <c r="JKN4" s="19"/>
      <c r="JKR4" s="19"/>
      <c r="JKV4" s="19"/>
      <c r="JKZ4" s="19"/>
      <c r="JLD4" s="19"/>
      <c r="JLH4" s="19"/>
      <c r="JLL4" s="19"/>
      <c r="JLP4" s="19"/>
      <c r="JLT4" s="19"/>
      <c r="JLX4" s="19"/>
      <c r="JMB4" s="19"/>
      <c r="JMF4" s="19"/>
      <c r="JMJ4" s="19"/>
      <c r="JMN4" s="19"/>
      <c r="JMR4" s="19"/>
      <c r="JMV4" s="19"/>
      <c r="JMZ4" s="19"/>
      <c r="JND4" s="19"/>
      <c r="JNH4" s="19"/>
      <c r="JNL4" s="19"/>
      <c r="JNP4" s="19"/>
      <c r="JNT4" s="19"/>
      <c r="JNX4" s="19"/>
      <c r="JOB4" s="19"/>
      <c r="JOF4" s="19"/>
      <c r="JOJ4" s="19"/>
      <c r="JON4" s="19"/>
      <c r="JOR4" s="19"/>
      <c r="JOV4" s="19"/>
      <c r="JOZ4" s="19"/>
      <c r="JPD4" s="19"/>
      <c r="JPH4" s="19"/>
      <c r="JPL4" s="19"/>
      <c r="JPP4" s="19"/>
      <c r="JPT4" s="19"/>
      <c r="JPX4" s="19"/>
      <c r="JQB4" s="19"/>
      <c r="JQF4" s="19"/>
      <c r="JQJ4" s="19"/>
      <c r="JQN4" s="19"/>
      <c r="JQR4" s="19"/>
      <c r="JQV4" s="19"/>
      <c r="JQZ4" s="19"/>
      <c r="JRD4" s="19"/>
      <c r="JRH4" s="19"/>
      <c r="JRL4" s="19"/>
      <c r="JRP4" s="19"/>
      <c r="JRT4" s="19"/>
      <c r="JRX4" s="19"/>
      <c r="JSB4" s="19"/>
      <c r="JSF4" s="19"/>
      <c r="JSJ4" s="19"/>
      <c r="JSN4" s="19"/>
      <c r="JSR4" s="19"/>
      <c r="JSV4" s="19"/>
      <c r="JSZ4" s="19"/>
      <c r="JTD4" s="19"/>
      <c r="JTH4" s="19"/>
      <c r="JTL4" s="19"/>
      <c r="JTP4" s="19"/>
      <c r="JTT4" s="19"/>
      <c r="JTX4" s="19"/>
      <c r="JUB4" s="19"/>
      <c r="JUF4" s="19"/>
      <c r="JUJ4" s="19"/>
      <c r="JUN4" s="19"/>
      <c r="JUR4" s="19"/>
      <c r="JUV4" s="19"/>
      <c r="JUZ4" s="19"/>
      <c r="JVD4" s="19"/>
      <c r="JVH4" s="19"/>
      <c r="JVL4" s="19"/>
      <c r="JVP4" s="19"/>
      <c r="JVT4" s="19"/>
      <c r="JVX4" s="19"/>
      <c r="JWB4" s="19"/>
      <c r="JWF4" s="19"/>
      <c r="JWJ4" s="19"/>
      <c r="JWN4" s="19"/>
      <c r="JWR4" s="19"/>
      <c r="JWV4" s="19"/>
      <c r="JWZ4" s="19"/>
      <c r="JXD4" s="19"/>
      <c r="JXH4" s="19"/>
      <c r="JXL4" s="19"/>
      <c r="JXP4" s="19"/>
      <c r="JXT4" s="19"/>
      <c r="JXX4" s="19"/>
      <c r="JYB4" s="19"/>
      <c r="JYF4" s="19"/>
      <c r="JYJ4" s="19"/>
      <c r="JYN4" s="19"/>
      <c r="JYR4" s="19"/>
      <c r="JYV4" s="19"/>
      <c r="JYZ4" s="19"/>
      <c r="JZD4" s="19"/>
      <c r="JZH4" s="19"/>
      <c r="JZL4" s="19"/>
      <c r="JZP4" s="19"/>
      <c r="JZT4" s="19"/>
      <c r="JZX4" s="19"/>
      <c r="KAB4" s="19"/>
      <c r="KAF4" s="19"/>
      <c r="KAJ4" s="19"/>
      <c r="KAN4" s="19"/>
      <c r="KAR4" s="19"/>
      <c r="KAV4" s="19"/>
      <c r="KAZ4" s="19"/>
      <c r="KBD4" s="19"/>
      <c r="KBH4" s="19"/>
      <c r="KBL4" s="19"/>
      <c r="KBP4" s="19"/>
      <c r="KBT4" s="19"/>
      <c r="KBX4" s="19"/>
      <c r="KCB4" s="19"/>
      <c r="KCF4" s="19"/>
      <c r="KCJ4" s="19"/>
      <c r="KCN4" s="19"/>
      <c r="KCR4" s="19"/>
      <c r="KCV4" s="19"/>
      <c r="KCZ4" s="19"/>
      <c r="KDD4" s="19"/>
      <c r="KDH4" s="19"/>
      <c r="KDL4" s="19"/>
      <c r="KDP4" s="19"/>
      <c r="KDT4" s="19"/>
      <c r="KDX4" s="19"/>
      <c r="KEB4" s="19"/>
      <c r="KEF4" s="19"/>
      <c r="KEJ4" s="19"/>
      <c r="KEN4" s="19"/>
      <c r="KER4" s="19"/>
      <c r="KEV4" s="19"/>
      <c r="KEZ4" s="19"/>
      <c r="KFD4" s="19"/>
      <c r="KFH4" s="19"/>
      <c r="KFL4" s="19"/>
      <c r="KFP4" s="19"/>
      <c r="KFT4" s="19"/>
      <c r="KFX4" s="19"/>
      <c r="KGB4" s="19"/>
      <c r="KGF4" s="19"/>
      <c r="KGJ4" s="19"/>
      <c r="KGN4" s="19"/>
      <c r="KGR4" s="19"/>
      <c r="KGV4" s="19"/>
      <c r="KGZ4" s="19"/>
      <c r="KHD4" s="19"/>
      <c r="KHH4" s="19"/>
      <c r="KHL4" s="19"/>
      <c r="KHP4" s="19"/>
      <c r="KHT4" s="19"/>
      <c r="KHX4" s="19"/>
      <c r="KIB4" s="19"/>
      <c r="KIF4" s="19"/>
      <c r="KIJ4" s="19"/>
      <c r="KIN4" s="19"/>
      <c r="KIR4" s="19"/>
      <c r="KIV4" s="19"/>
      <c r="KIZ4" s="19"/>
      <c r="KJD4" s="19"/>
      <c r="KJH4" s="19"/>
      <c r="KJL4" s="19"/>
      <c r="KJP4" s="19"/>
      <c r="KJT4" s="19"/>
      <c r="KJX4" s="19"/>
      <c r="KKB4" s="19"/>
      <c r="KKF4" s="19"/>
      <c r="KKJ4" s="19"/>
      <c r="KKN4" s="19"/>
      <c r="KKR4" s="19"/>
      <c r="KKV4" s="19"/>
      <c r="KKZ4" s="19"/>
      <c r="KLD4" s="19"/>
      <c r="KLH4" s="19"/>
      <c r="KLL4" s="19"/>
      <c r="KLP4" s="19"/>
      <c r="KLT4" s="19"/>
      <c r="KLX4" s="19"/>
      <c r="KMB4" s="19"/>
      <c r="KMF4" s="19"/>
      <c r="KMJ4" s="19"/>
      <c r="KMN4" s="19"/>
      <c r="KMR4" s="19"/>
      <c r="KMV4" s="19"/>
      <c r="KMZ4" s="19"/>
      <c r="KND4" s="19"/>
      <c r="KNH4" s="19"/>
      <c r="KNL4" s="19"/>
      <c r="KNP4" s="19"/>
      <c r="KNT4" s="19"/>
      <c r="KNX4" s="19"/>
      <c r="KOB4" s="19"/>
      <c r="KOF4" s="19"/>
      <c r="KOJ4" s="19"/>
      <c r="KON4" s="19"/>
      <c r="KOR4" s="19"/>
      <c r="KOV4" s="19"/>
      <c r="KOZ4" s="19"/>
      <c r="KPD4" s="19"/>
      <c r="KPH4" s="19"/>
      <c r="KPL4" s="19"/>
      <c r="KPP4" s="19"/>
      <c r="KPT4" s="19"/>
      <c r="KPX4" s="19"/>
      <c r="KQB4" s="19"/>
      <c r="KQF4" s="19"/>
      <c r="KQJ4" s="19"/>
      <c r="KQN4" s="19"/>
      <c r="KQR4" s="19"/>
      <c r="KQV4" s="19"/>
      <c r="KQZ4" s="19"/>
      <c r="KRD4" s="19"/>
      <c r="KRH4" s="19"/>
      <c r="KRL4" s="19"/>
      <c r="KRP4" s="19"/>
      <c r="KRT4" s="19"/>
      <c r="KRX4" s="19"/>
      <c r="KSB4" s="19"/>
      <c r="KSF4" s="19"/>
      <c r="KSJ4" s="19"/>
      <c r="KSN4" s="19"/>
      <c r="KSR4" s="19"/>
      <c r="KSV4" s="19"/>
      <c r="KSZ4" s="19"/>
      <c r="KTD4" s="19"/>
      <c r="KTH4" s="19"/>
      <c r="KTL4" s="19"/>
      <c r="KTP4" s="19"/>
      <c r="KTT4" s="19"/>
      <c r="KTX4" s="19"/>
      <c r="KUB4" s="19"/>
      <c r="KUF4" s="19"/>
      <c r="KUJ4" s="19"/>
      <c r="KUN4" s="19"/>
      <c r="KUR4" s="19"/>
      <c r="KUV4" s="19"/>
      <c r="KUZ4" s="19"/>
      <c r="KVD4" s="19"/>
      <c r="KVH4" s="19"/>
      <c r="KVL4" s="19"/>
      <c r="KVP4" s="19"/>
      <c r="KVT4" s="19"/>
      <c r="KVX4" s="19"/>
      <c r="KWB4" s="19"/>
      <c r="KWF4" s="19"/>
      <c r="KWJ4" s="19"/>
      <c r="KWN4" s="19"/>
      <c r="KWR4" s="19"/>
      <c r="KWV4" s="19"/>
      <c r="KWZ4" s="19"/>
      <c r="KXD4" s="19"/>
      <c r="KXH4" s="19"/>
      <c r="KXL4" s="19"/>
      <c r="KXP4" s="19"/>
      <c r="KXT4" s="19"/>
      <c r="KXX4" s="19"/>
      <c r="KYB4" s="19"/>
      <c r="KYF4" s="19"/>
      <c r="KYJ4" s="19"/>
      <c r="KYN4" s="19"/>
      <c r="KYR4" s="19"/>
      <c r="KYV4" s="19"/>
      <c r="KYZ4" s="19"/>
      <c r="KZD4" s="19"/>
      <c r="KZH4" s="19"/>
      <c r="KZL4" s="19"/>
      <c r="KZP4" s="19"/>
      <c r="KZT4" s="19"/>
      <c r="KZX4" s="19"/>
      <c r="LAB4" s="19"/>
      <c r="LAF4" s="19"/>
      <c r="LAJ4" s="19"/>
      <c r="LAN4" s="19"/>
      <c r="LAR4" s="19"/>
      <c r="LAV4" s="19"/>
      <c r="LAZ4" s="19"/>
      <c r="LBD4" s="19"/>
      <c r="LBH4" s="19"/>
      <c r="LBL4" s="19"/>
      <c r="LBP4" s="19"/>
      <c r="LBT4" s="19"/>
      <c r="LBX4" s="19"/>
      <c r="LCB4" s="19"/>
      <c r="LCF4" s="19"/>
      <c r="LCJ4" s="19"/>
      <c r="LCN4" s="19"/>
      <c r="LCR4" s="19"/>
      <c r="LCV4" s="19"/>
      <c r="LCZ4" s="19"/>
      <c r="LDD4" s="19"/>
      <c r="LDH4" s="19"/>
      <c r="LDL4" s="19"/>
      <c r="LDP4" s="19"/>
      <c r="LDT4" s="19"/>
      <c r="LDX4" s="19"/>
      <c r="LEB4" s="19"/>
      <c r="LEF4" s="19"/>
      <c r="LEJ4" s="19"/>
      <c r="LEN4" s="19"/>
      <c r="LER4" s="19"/>
      <c r="LEV4" s="19"/>
      <c r="LEZ4" s="19"/>
      <c r="LFD4" s="19"/>
      <c r="LFH4" s="19"/>
      <c r="LFL4" s="19"/>
      <c r="LFP4" s="19"/>
      <c r="LFT4" s="19"/>
      <c r="LFX4" s="19"/>
      <c r="LGB4" s="19"/>
      <c r="LGF4" s="19"/>
      <c r="LGJ4" s="19"/>
      <c r="LGN4" s="19"/>
      <c r="LGR4" s="19"/>
      <c r="LGV4" s="19"/>
      <c r="LGZ4" s="19"/>
      <c r="LHD4" s="19"/>
      <c r="LHH4" s="19"/>
      <c r="LHL4" s="19"/>
      <c r="LHP4" s="19"/>
      <c r="LHT4" s="19"/>
      <c r="LHX4" s="19"/>
      <c r="LIB4" s="19"/>
      <c r="LIF4" s="19"/>
      <c r="LIJ4" s="19"/>
      <c r="LIN4" s="19"/>
      <c r="LIR4" s="19"/>
      <c r="LIV4" s="19"/>
      <c r="LIZ4" s="19"/>
      <c r="LJD4" s="19"/>
      <c r="LJH4" s="19"/>
      <c r="LJL4" s="19"/>
      <c r="LJP4" s="19"/>
      <c r="LJT4" s="19"/>
      <c r="LJX4" s="19"/>
      <c r="LKB4" s="19"/>
      <c r="LKF4" s="19"/>
      <c r="LKJ4" s="19"/>
      <c r="LKN4" s="19"/>
      <c r="LKR4" s="19"/>
      <c r="LKV4" s="19"/>
      <c r="LKZ4" s="19"/>
      <c r="LLD4" s="19"/>
      <c r="LLH4" s="19"/>
      <c r="LLL4" s="19"/>
      <c r="LLP4" s="19"/>
      <c r="LLT4" s="19"/>
      <c r="LLX4" s="19"/>
      <c r="LMB4" s="19"/>
      <c r="LMF4" s="19"/>
      <c r="LMJ4" s="19"/>
      <c r="LMN4" s="19"/>
      <c r="LMR4" s="19"/>
      <c r="LMV4" s="19"/>
      <c r="LMZ4" s="19"/>
      <c r="LND4" s="19"/>
      <c r="LNH4" s="19"/>
      <c r="LNL4" s="19"/>
      <c r="LNP4" s="19"/>
      <c r="LNT4" s="19"/>
      <c r="LNX4" s="19"/>
      <c r="LOB4" s="19"/>
      <c r="LOF4" s="19"/>
      <c r="LOJ4" s="19"/>
      <c r="LON4" s="19"/>
      <c r="LOR4" s="19"/>
      <c r="LOV4" s="19"/>
      <c r="LOZ4" s="19"/>
      <c r="LPD4" s="19"/>
      <c r="LPH4" s="19"/>
      <c r="LPL4" s="19"/>
      <c r="LPP4" s="19"/>
      <c r="LPT4" s="19"/>
      <c r="LPX4" s="19"/>
      <c r="LQB4" s="19"/>
      <c r="LQF4" s="19"/>
      <c r="LQJ4" s="19"/>
      <c r="LQN4" s="19"/>
      <c r="LQR4" s="19"/>
      <c r="LQV4" s="19"/>
      <c r="LQZ4" s="19"/>
      <c r="LRD4" s="19"/>
      <c r="LRH4" s="19"/>
      <c r="LRL4" s="19"/>
      <c r="LRP4" s="19"/>
      <c r="LRT4" s="19"/>
      <c r="LRX4" s="19"/>
      <c r="LSB4" s="19"/>
      <c r="LSF4" s="19"/>
      <c r="LSJ4" s="19"/>
      <c r="LSN4" s="19"/>
      <c r="LSR4" s="19"/>
      <c r="LSV4" s="19"/>
      <c r="LSZ4" s="19"/>
      <c r="LTD4" s="19"/>
      <c r="LTH4" s="19"/>
      <c r="LTL4" s="19"/>
      <c r="LTP4" s="19"/>
      <c r="LTT4" s="19"/>
      <c r="LTX4" s="19"/>
      <c r="LUB4" s="19"/>
      <c r="LUF4" s="19"/>
      <c r="LUJ4" s="19"/>
      <c r="LUN4" s="19"/>
      <c r="LUR4" s="19"/>
      <c r="LUV4" s="19"/>
      <c r="LUZ4" s="19"/>
      <c r="LVD4" s="19"/>
      <c r="LVH4" s="19"/>
      <c r="LVL4" s="19"/>
      <c r="LVP4" s="19"/>
      <c r="LVT4" s="19"/>
      <c r="LVX4" s="19"/>
      <c r="LWB4" s="19"/>
      <c r="LWF4" s="19"/>
      <c r="LWJ4" s="19"/>
      <c r="LWN4" s="19"/>
      <c r="LWR4" s="19"/>
      <c r="LWV4" s="19"/>
      <c r="LWZ4" s="19"/>
      <c r="LXD4" s="19"/>
      <c r="LXH4" s="19"/>
      <c r="LXL4" s="19"/>
      <c r="LXP4" s="19"/>
      <c r="LXT4" s="19"/>
      <c r="LXX4" s="19"/>
      <c r="LYB4" s="19"/>
      <c r="LYF4" s="19"/>
      <c r="LYJ4" s="19"/>
      <c r="LYN4" s="19"/>
      <c r="LYR4" s="19"/>
      <c r="LYV4" s="19"/>
      <c r="LYZ4" s="19"/>
      <c r="LZD4" s="19"/>
      <c r="LZH4" s="19"/>
      <c r="LZL4" s="19"/>
      <c r="LZP4" s="19"/>
      <c r="LZT4" s="19"/>
      <c r="LZX4" s="19"/>
      <c r="MAB4" s="19"/>
      <c r="MAF4" s="19"/>
      <c r="MAJ4" s="19"/>
      <c r="MAN4" s="19"/>
      <c r="MAR4" s="19"/>
      <c r="MAV4" s="19"/>
      <c r="MAZ4" s="19"/>
      <c r="MBD4" s="19"/>
      <c r="MBH4" s="19"/>
      <c r="MBL4" s="19"/>
      <c r="MBP4" s="19"/>
      <c r="MBT4" s="19"/>
      <c r="MBX4" s="19"/>
      <c r="MCB4" s="19"/>
      <c r="MCF4" s="19"/>
      <c r="MCJ4" s="19"/>
      <c r="MCN4" s="19"/>
      <c r="MCR4" s="19"/>
      <c r="MCV4" s="19"/>
      <c r="MCZ4" s="19"/>
      <c r="MDD4" s="19"/>
      <c r="MDH4" s="19"/>
      <c r="MDL4" s="19"/>
      <c r="MDP4" s="19"/>
      <c r="MDT4" s="19"/>
      <c r="MDX4" s="19"/>
      <c r="MEB4" s="19"/>
      <c r="MEF4" s="19"/>
      <c r="MEJ4" s="19"/>
      <c r="MEN4" s="19"/>
      <c r="MER4" s="19"/>
      <c r="MEV4" s="19"/>
      <c r="MEZ4" s="19"/>
      <c r="MFD4" s="19"/>
      <c r="MFH4" s="19"/>
      <c r="MFL4" s="19"/>
      <c r="MFP4" s="19"/>
      <c r="MFT4" s="19"/>
      <c r="MFX4" s="19"/>
      <c r="MGB4" s="19"/>
      <c r="MGF4" s="19"/>
      <c r="MGJ4" s="19"/>
      <c r="MGN4" s="19"/>
      <c r="MGR4" s="19"/>
      <c r="MGV4" s="19"/>
      <c r="MGZ4" s="19"/>
      <c r="MHD4" s="19"/>
      <c r="MHH4" s="19"/>
      <c r="MHL4" s="19"/>
      <c r="MHP4" s="19"/>
      <c r="MHT4" s="19"/>
      <c r="MHX4" s="19"/>
      <c r="MIB4" s="19"/>
      <c r="MIF4" s="19"/>
      <c r="MIJ4" s="19"/>
      <c r="MIN4" s="19"/>
      <c r="MIR4" s="19"/>
      <c r="MIV4" s="19"/>
      <c r="MIZ4" s="19"/>
      <c r="MJD4" s="19"/>
      <c r="MJH4" s="19"/>
      <c r="MJL4" s="19"/>
      <c r="MJP4" s="19"/>
      <c r="MJT4" s="19"/>
      <c r="MJX4" s="19"/>
      <c r="MKB4" s="19"/>
      <c r="MKF4" s="19"/>
      <c r="MKJ4" s="19"/>
      <c r="MKN4" s="19"/>
      <c r="MKR4" s="19"/>
      <c r="MKV4" s="19"/>
      <c r="MKZ4" s="19"/>
      <c r="MLD4" s="19"/>
      <c r="MLH4" s="19"/>
      <c r="MLL4" s="19"/>
      <c r="MLP4" s="19"/>
      <c r="MLT4" s="19"/>
      <c r="MLX4" s="19"/>
      <c r="MMB4" s="19"/>
      <c r="MMF4" s="19"/>
      <c r="MMJ4" s="19"/>
      <c r="MMN4" s="19"/>
      <c r="MMR4" s="19"/>
      <c r="MMV4" s="19"/>
      <c r="MMZ4" s="19"/>
      <c r="MND4" s="19"/>
      <c r="MNH4" s="19"/>
      <c r="MNL4" s="19"/>
      <c r="MNP4" s="19"/>
      <c r="MNT4" s="19"/>
      <c r="MNX4" s="19"/>
      <c r="MOB4" s="19"/>
      <c r="MOF4" s="19"/>
      <c r="MOJ4" s="19"/>
      <c r="MON4" s="19"/>
      <c r="MOR4" s="19"/>
      <c r="MOV4" s="19"/>
      <c r="MOZ4" s="19"/>
      <c r="MPD4" s="19"/>
      <c r="MPH4" s="19"/>
      <c r="MPL4" s="19"/>
      <c r="MPP4" s="19"/>
      <c r="MPT4" s="19"/>
      <c r="MPX4" s="19"/>
      <c r="MQB4" s="19"/>
      <c r="MQF4" s="19"/>
      <c r="MQJ4" s="19"/>
      <c r="MQN4" s="19"/>
      <c r="MQR4" s="19"/>
      <c r="MQV4" s="19"/>
      <c r="MQZ4" s="19"/>
      <c r="MRD4" s="19"/>
      <c r="MRH4" s="19"/>
      <c r="MRL4" s="19"/>
      <c r="MRP4" s="19"/>
      <c r="MRT4" s="19"/>
      <c r="MRX4" s="19"/>
      <c r="MSB4" s="19"/>
      <c r="MSF4" s="19"/>
      <c r="MSJ4" s="19"/>
      <c r="MSN4" s="19"/>
      <c r="MSR4" s="19"/>
      <c r="MSV4" s="19"/>
      <c r="MSZ4" s="19"/>
      <c r="MTD4" s="19"/>
      <c r="MTH4" s="19"/>
      <c r="MTL4" s="19"/>
      <c r="MTP4" s="19"/>
      <c r="MTT4" s="19"/>
      <c r="MTX4" s="19"/>
      <c r="MUB4" s="19"/>
      <c r="MUF4" s="19"/>
      <c r="MUJ4" s="19"/>
      <c r="MUN4" s="19"/>
      <c r="MUR4" s="19"/>
      <c r="MUV4" s="19"/>
      <c r="MUZ4" s="19"/>
      <c r="MVD4" s="19"/>
      <c r="MVH4" s="19"/>
      <c r="MVL4" s="19"/>
      <c r="MVP4" s="19"/>
      <c r="MVT4" s="19"/>
      <c r="MVX4" s="19"/>
      <c r="MWB4" s="19"/>
      <c r="MWF4" s="19"/>
      <c r="MWJ4" s="19"/>
      <c r="MWN4" s="19"/>
      <c r="MWR4" s="19"/>
      <c r="MWV4" s="19"/>
      <c r="MWZ4" s="19"/>
      <c r="MXD4" s="19"/>
      <c r="MXH4" s="19"/>
      <c r="MXL4" s="19"/>
      <c r="MXP4" s="19"/>
      <c r="MXT4" s="19"/>
      <c r="MXX4" s="19"/>
      <c r="MYB4" s="19"/>
      <c r="MYF4" s="19"/>
      <c r="MYJ4" s="19"/>
      <c r="MYN4" s="19"/>
      <c r="MYR4" s="19"/>
      <c r="MYV4" s="19"/>
      <c r="MYZ4" s="19"/>
      <c r="MZD4" s="19"/>
      <c r="MZH4" s="19"/>
      <c r="MZL4" s="19"/>
      <c r="MZP4" s="19"/>
      <c r="MZT4" s="19"/>
      <c r="MZX4" s="19"/>
      <c r="NAB4" s="19"/>
      <c r="NAF4" s="19"/>
      <c r="NAJ4" s="19"/>
      <c r="NAN4" s="19"/>
      <c r="NAR4" s="19"/>
      <c r="NAV4" s="19"/>
      <c r="NAZ4" s="19"/>
      <c r="NBD4" s="19"/>
      <c r="NBH4" s="19"/>
      <c r="NBL4" s="19"/>
      <c r="NBP4" s="19"/>
      <c r="NBT4" s="19"/>
      <c r="NBX4" s="19"/>
      <c r="NCB4" s="19"/>
      <c r="NCF4" s="19"/>
      <c r="NCJ4" s="19"/>
      <c r="NCN4" s="19"/>
      <c r="NCR4" s="19"/>
      <c r="NCV4" s="19"/>
      <c r="NCZ4" s="19"/>
      <c r="NDD4" s="19"/>
      <c r="NDH4" s="19"/>
      <c r="NDL4" s="19"/>
      <c r="NDP4" s="19"/>
      <c r="NDT4" s="19"/>
      <c r="NDX4" s="19"/>
      <c r="NEB4" s="19"/>
      <c r="NEF4" s="19"/>
      <c r="NEJ4" s="19"/>
      <c r="NEN4" s="19"/>
      <c r="NER4" s="19"/>
      <c r="NEV4" s="19"/>
      <c r="NEZ4" s="19"/>
      <c r="NFD4" s="19"/>
      <c r="NFH4" s="19"/>
      <c r="NFL4" s="19"/>
      <c r="NFP4" s="19"/>
      <c r="NFT4" s="19"/>
      <c r="NFX4" s="19"/>
      <c r="NGB4" s="19"/>
      <c r="NGF4" s="19"/>
      <c r="NGJ4" s="19"/>
      <c r="NGN4" s="19"/>
      <c r="NGR4" s="19"/>
      <c r="NGV4" s="19"/>
      <c r="NGZ4" s="19"/>
      <c r="NHD4" s="19"/>
      <c r="NHH4" s="19"/>
      <c r="NHL4" s="19"/>
      <c r="NHP4" s="19"/>
      <c r="NHT4" s="19"/>
      <c r="NHX4" s="19"/>
      <c r="NIB4" s="19"/>
      <c r="NIF4" s="19"/>
      <c r="NIJ4" s="19"/>
      <c r="NIN4" s="19"/>
      <c r="NIR4" s="19"/>
      <c r="NIV4" s="19"/>
      <c r="NIZ4" s="19"/>
      <c r="NJD4" s="19"/>
      <c r="NJH4" s="19"/>
      <c r="NJL4" s="19"/>
      <c r="NJP4" s="19"/>
      <c r="NJT4" s="19"/>
      <c r="NJX4" s="19"/>
      <c r="NKB4" s="19"/>
      <c r="NKF4" s="19"/>
      <c r="NKJ4" s="19"/>
      <c r="NKN4" s="19"/>
      <c r="NKR4" s="19"/>
      <c r="NKV4" s="19"/>
      <c r="NKZ4" s="19"/>
      <c r="NLD4" s="19"/>
      <c r="NLH4" s="19"/>
      <c r="NLL4" s="19"/>
      <c r="NLP4" s="19"/>
      <c r="NLT4" s="19"/>
      <c r="NLX4" s="19"/>
      <c r="NMB4" s="19"/>
      <c r="NMF4" s="19"/>
      <c r="NMJ4" s="19"/>
      <c r="NMN4" s="19"/>
      <c r="NMR4" s="19"/>
      <c r="NMV4" s="19"/>
      <c r="NMZ4" s="19"/>
      <c r="NND4" s="19"/>
      <c r="NNH4" s="19"/>
      <c r="NNL4" s="19"/>
      <c r="NNP4" s="19"/>
      <c r="NNT4" s="19"/>
      <c r="NNX4" s="19"/>
      <c r="NOB4" s="19"/>
      <c r="NOF4" s="19"/>
      <c r="NOJ4" s="19"/>
      <c r="NON4" s="19"/>
      <c r="NOR4" s="19"/>
      <c r="NOV4" s="19"/>
      <c r="NOZ4" s="19"/>
      <c r="NPD4" s="19"/>
      <c r="NPH4" s="19"/>
      <c r="NPL4" s="19"/>
      <c r="NPP4" s="19"/>
      <c r="NPT4" s="19"/>
      <c r="NPX4" s="19"/>
      <c r="NQB4" s="19"/>
      <c r="NQF4" s="19"/>
      <c r="NQJ4" s="19"/>
      <c r="NQN4" s="19"/>
      <c r="NQR4" s="19"/>
      <c r="NQV4" s="19"/>
      <c r="NQZ4" s="19"/>
      <c r="NRD4" s="19"/>
      <c r="NRH4" s="19"/>
      <c r="NRL4" s="19"/>
      <c r="NRP4" s="19"/>
      <c r="NRT4" s="19"/>
      <c r="NRX4" s="19"/>
      <c r="NSB4" s="19"/>
      <c r="NSF4" s="19"/>
      <c r="NSJ4" s="19"/>
      <c r="NSN4" s="19"/>
      <c r="NSR4" s="19"/>
      <c r="NSV4" s="19"/>
      <c r="NSZ4" s="19"/>
      <c r="NTD4" s="19"/>
      <c r="NTH4" s="19"/>
      <c r="NTL4" s="19"/>
      <c r="NTP4" s="19"/>
      <c r="NTT4" s="19"/>
      <c r="NTX4" s="19"/>
      <c r="NUB4" s="19"/>
      <c r="NUF4" s="19"/>
      <c r="NUJ4" s="19"/>
      <c r="NUN4" s="19"/>
      <c r="NUR4" s="19"/>
      <c r="NUV4" s="19"/>
      <c r="NUZ4" s="19"/>
      <c r="NVD4" s="19"/>
      <c r="NVH4" s="19"/>
      <c r="NVL4" s="19"/>
      <c r="NVP4" s="19"/>
      <c r="NVT4" s="19"/>
      <c r="NVX4" s="19"/>
      <c r="NWB4" s="19"/>
      <c r="NWF4" s="19"/>
      <c r="NWJ4" s="19"/>
      <c r="NWN4" s="19"/>
      <c r="NWR4" s="19"/>
      <c r="NWV4" s="19"/>
      <c r="NWZ4" s="19"/>
      <c r="NXD4" s="19"/>
      <c r="NXH4" s="19"/>
      <c r="NXL4" s="19"/>
      <c r="NXP4" s="19"/>
      <c r="NXT4" s="19"/>
      <c r="NXX4" s="19"/>
      <c r="NYB4" s="19"/>
      <c r="NYF4" s="19"/>
      <c r="NYJ4" s="19"/>
      <c r="NYN4" s="19"/>
      <c r="NYR4" s="19"/>
      <c r="NYV4" s="19"/>
      <c r="NYZ4" s="19"/>
      <c r="NZD4" s="19"/>
      <c r="NZH4" s="19"/>
      <c r="NZL4" s="19"/>
      <c r="NZP4" s="19"/>
      <c r="NZT4" s="19"/>
      <c r="NZX4" s="19"/>
      <c r="OAB4" s="19"/>
      <c r="OAF4" s="19"/>
      <c r="OAJ4" s="19"/>
      <c r="OAN4" s="19"/>
      <c r="OAR4" s="19"/>
      <c r="OAV4" s="19"/>
      <c r="OAZ4" s="19"/>
      <c r="OBD4" s="19"/>
      <c r="OBH4" s="19"/>
      <c r="OBL4" s="19"/>
      <c r="OBP4" s="19"/>
      <c r="OBT4" s="19"/>
      <c r="OBX4" s="19"/>
      <c r="OCB4" s="19"/>
      <c r="OCF4" s="19"/>
      <c r="OCJ4" s="19"/>
      <c r="OCN4" s="19"/>
      <c r="OCR4" s="19"/>
      <c r="OCV4" s="19"/>
      <c r="OCZ4" s="19"/>
      <c r="ODD4" s="19"/>
      <c r="ODH4" s="19"/>
      <c r="ODL4" s="19"/>
      <c r="ODP4" s="19"/>
      <c r="ODT4" s="19"/>
      <c r="ODX4" s="19"/>
      <c r="OEB4" s="19"/>
      <c r="OEF4" s="19"/>
      <c r="OEJ4" s="19"/>
      <c r="OEN4" s="19"/>
      <c r="OER4" s="19"/>
      <c r="OEV4" s="19"/>
      <c r="OEZ4" s="19"/>
      <c r="OFD4" s="19"/>
      <c r="OFH4" s="19"/>
      <c r="OFL4" s="19"/>
      <c r="OFP4" s="19"/>
      <c r="OFT4" s="19"/>
      <c r="OFX4" s="19"/>
      <c r="OGB4" s="19"/>
      <c r="OGF4" s="19"/>
      <c r="OGJ4" s="19"/>
      <c r="OGN4" s="19"/>
      <c r="OGR4" s="19"/>
      <c r="OGV4" s="19"/>
      <c r="OGZ4" s="19"/>
      <c r="OHD4" s="19"/>
      <c r="OHH4" s="19"/>
      <c r="OHL4" s="19"/>
      <c r="OHP4" s="19"/>
      <c r="OHT4" s="19"/>
      <c r="OHX4" s="19"/>
      <c r="OIB4" s="19"/>
      <c r="OIF4" s="19"/>
      <c r="OIJ4" s="19"/>
      <c r="OIN4" s="19"/>
      <c r="OIR4" s="19"/>
      <c r="OIV4" s="19"/>
      <c r="OIZ4" s="19"/>
      <c r="OJD4" s="19"/>
      <c r="OJH4" s="19"/>
      <c r="OJL4" s="19"/>
      <c r="OJP4" s="19"/>
      <c r="OJT4" s="19"/>
      <c r="OJX4" s="19"/>
      <c r="OKB4" s="19"/>
      <c r="OKF4" s="19"/>
      <c r="OKJ4" s="19"/>
      <c r="OKN4" s="19"/>
      <c r="OKR4" s="19"/>
      <c r="OKV4" s="19"/>
      <c r="OKZ4" s="19"/>
      <c r="OLD4" s="19"/>
      <c r="OLH4" s="19"/>
      <c r="OLL4" s="19"/>
      <c r="OLP4" s="19"/>
      <c r="OLT4" s="19"/>
      <c r="OLX4" s="19"/>
      <c r="OMB4" s="19"/>
      <c r="OMF4" s="19"/>
      <c r="OMJ4" s="19"/>
      <c r="OMN4" s="19"/>
      <c r="OMR4" s="19"/>
      <c r="OMV4" s="19"/>
      <c r="OMZ4" s="19"/>
      <c r="OND4" s="19"/>
      <c r="ONH4" s="19"/>
      <c r="ONL4" s="19"/>
      <c r="ONP4" s="19"/>
      <c r="ONT4" s="19"/>
      <c r="ONX4" s="19"/>
      <c r="OOB4" s="19"/>
      <c r="OOF4" s="19"/>
      <c r="OOJ4" s="19"/>
      <c r="OON4" s="19"/>
      <c r="OOR4" s="19"/>
      <c r="OOV4" s="19"/>
      <c r="OOZ4" s="19"/>
      <c r="OPD4" s="19"/>
      <c r="OPH4" s="19"/>
      <c r="OPL4" s="19"/>
      <c r="OPP4" s="19"/>
      <c r="OPT4" s="19"/>
      <c r="OPX4" s="19"/>
      <c r="OQB4" s="19"/>
      <c r="OQF4" s="19"/>
      <c r="OQJ4" s="19"/>
      <c r="OQN4" s="19"/>
      <c r="OQR4" s="19"/>
      <c r="OQV4" s="19"/>
      <c r="OQZ4" s="19"/>
      <c r="ORD4" s="19"/>
      <c r="ORH4" s="19"/>
      <c r="ORL4" s="19"/>
      <c r="ORP4" s="19"/>
      <c r="ORT4" s="19"/>
      <c r="ORX4" s="19"/>
      <c r="OSB4" s="19"/>
      <c r="OSF4" s="19"/>
      <c r="OSJ4" s="19"/>
      <c r="OSN4" s="19"/>
      <c r="OSR4" s="19"/>
      <c r="OSV4" s="19"/>
      <c r="OSZ4" s="19"/>
      <c r="OTD4" s="19"/>
      <c r="OTH4" s="19"/>
      <c r="OTL4" s="19"/>
      <c r="OTP4" s="19"/>
      <c r="OTT4" s="19"/>
      <c r="OTX4" s="19"/>
      <c r="OUB4" s="19"/>
      <c r="OUF4" s="19"/>
      <c r="OUJ4" s="19"/>
      <c r="OUN4" s="19"/>
      <c r="OUR4" s="19"/>
      <c r="OUV4" s="19"/>
      <c r="OUZ4" s="19"/>
      <c r="OVD4" s="19"/>
      <c r="OVH4" s="19"/>
      <c r="OVL4" s="19"/>
      <c r="OVP4" s="19"/>
      <c r="OVT4" s="19"/>
      <c r="OVX4" s="19"/>
      <c r="OWB4" s="19"/>
      <c r="OWF4" s="19"/>
      <c r="OWJ4" s="19"/>
      <c r="OWN4" s="19"/>
      <c r="OWR4" s="19"/>
      <c r="OWV4" s="19"/>
      <c r="OWZ4" s="19"/>
      <c r="OXD4" s="19"/>
      <c r="OXH4" s="19"/>
      <c r="OXL4" s="19"/>
      <c r="OXP4" s="19"/>
      <c r="OXT4" s="19"/>
      <c r="OXX4" s="19"/>
      <c r="OYB4" s="19"/>
      <c r="OYF4" s="19"/>
      <c r="OYJ4" s="19"/>
      <c r="OYN4" s="19"/>
      <c r="OYR4" s="19"/>
      <c r="OYV4" s="19"/>
      <c r="OYZ4" s="19"/>
      <c r="OZD4" s="19"/>
      <c r="OZH4" s="19"/>
      <c r="OZL4" s="19"/>
      <c r="OZP4" s="19"/>
      <c r="OZT4" s="19"/>
      <c r="OZX4" s="19"/>
      <c r="PAB4" s="19"/>
      <c r="PAF4" s="19"/>
      <c r="PAJ4" s="19"/>
      <c r="PAN4" s="19"/>
      <c r="PAR4" s="19"/>
      <c r="PAV4" s="19"/>
      <c r="PAZ4" s="19"/>
      <c r="PBD4" s="19"/>
      <c r="PBH4" s="19"/>
      <c r="PBL4" s="19"/>
      <c r="PBP4" s="19"/>
      <c r="PBT4" s="19"/>
      <c r="PBX4" s="19"/>
      <c r="PCB4" s="19"/>
      <c r="PCF4" s="19"/>
      <c r="PCJ4" s="19"/>
      <c r="PCN4" s="19"/>
      <c r="PCR4" s="19"/>
      <c r="PCV4" s="19"/>
      <c r="PCZ4" s="19"/>
      <c r="PDD4" s="19"/>
      <c r="PDH4" s="19"/>
      <c r="PDL4" s="19"/>
      <c r="PDP4" s="19"/>
      <c r="PDT4" s="19"/>
      <c r="PDX4" s="19"/>
      <c r="PEB4" s="19"/>
      <c r="PEF4" s="19"/>
      <c r="PEJ4" s="19"/>
      <c r="PEN4" s="19"/>
      <c r="PER4" s="19"/>
      <c r="PEV4" s="19"/>
      <c r="PEZ4" s="19"/>
      <c r="PFD4" s="19"/>
      <c r="PFH4" s="19"/>
      <c r="PFL4" s="19"/>
      <c r="PFP4" s="19"/>
      <c r="PFT4" s="19"/>
      <c r="PFX4" s="19"/>
      <c r="PGB4" s="19"/>
      <c r="PGF4" s="19"/>
      <c r="PGJ4" s="19"/>
      <c r="PGN4" s="19"/>
      <c r="PGR4" s="19"/>
      <c r="PGV4" s="19"/>
      <c r="PGZ4" s="19"/>
      <c r="PHD4" s="19"/>
      <c r="PHH4" s="19"/>
      <c r="PHL4" s="19"/>
      <c r="PHP4" s="19"/>
      <c r="PHT4" s="19"/>
      <c r="PHX4" s="19"/>
      <c r="PIB4" s="19"/>
      <c r="PIF4" s="19"/>
      <c r="PIJ4" s="19"/>
      <c r="PIN4" s="19"/>
      <c r="PIR4" s="19"/>
      <c r="PIV4" s="19"/>
      <c r="PIZ4" s="19"/>
      <c r="PJD4" s="19"/>
      <c r="PJH4" s="19"/>
      <c r="PJL4" s="19"/>
      <c r="PJP4" s="19"/>
      <c r="PJT4" s="19"/>
      <c r="PJX4" s="19"/>
      <c r="PKB4" s="19"/>
      <c r="PKF4" s="19"/>
      <c r="PKJ4" s="19"/>
      <c r="PKN4" s="19"/>
      <c r="PKR4" s="19"/>
      <c r="PKV4" s="19"/>
      <c r="PKZ4" s="19"/>
      <c r="PLD4" s="19"/>
      <c r="PLH4" s="19"/>
      <c r="PLL4" s="19"/>
      <c r="PLP4" s="19"/>
      <c r="PLT4" s="19"/>
      <c r="PLX4" s="19"/>
      <c r="PMB4" s="19"/>
      <c r="PMF4" s="19"/>
      <c r="PMJ4" s="19"/>
      <c r="PMN4" s="19"/>
      <c r="PMR4" s="19"/>
      <c r="PMV4" s="19"/>
      <c r="PMZ4" s="19"/>
      <c r="PND4" s="19"/>
      <c r="PNH4" s="19"/>
      <c r="PNL4" s="19"/>
      <c r="PNP4" s="19"/>
      <c r="PNT4" s="19"/>
      <c r="PNX4" s="19"/>
      <c r="POB4" s="19"/>
      <c r="POF4" s="19"/>
      <c r="POJ4" s="19"/>
      <c r="PON4" s="19"/>
      <c r="POR4" s="19"/>
      <c r="POV4" s="19"/>
      <c r="POZ4" s="19"/>
      <c r="PPD4" s="19"/>
      <c r="PPH4" s="19"/>
      <c r="PPL4" s="19"/>
      <c r="PPP4" s="19"/>
      <c r="PPT4" s="19"/>
      <c r="PPX4" s="19"/>
      <c r="PQB4" s="19"/>
      <c r="PQF4" s="19"/>
      <c r="PQJ4" s="19"/>
      <c r="PQN4" s="19"/>
      <c r="PQR4" s="19"/>
      <c r="PQV4" s="19"/>
      <c r="PQZ4" s="19"/>
      <c r="PRD4" s="19"/>
      <c r="PRH4" s="19"/>
      <c r="PRL4" s="19"/>
      <c r="PRP4" s="19"/>
      <c r="PRT4" s="19"/>
      <c r="PRX4" s="19"/>
      <c r="PSB4" s="19"/>
      <c r="PSF4" s="19"/>
      <c r="PSJ4" s="19"/>
      <c r="PSN4" s="19"/>
      <c r="PSR4" s="19"/>
      <c r="PSV4" s="19"/>
      <c r="PSZ4" s="19"/>
      <c r="PTD4" s="19"/>
      <c r="PTH4" s="19"/>
      <c r="PTL4" s="19"/>
      <c r="PTP4" s="19"/>
      <c r="PTT4" s="19"/>
      <c r="PTX4" s="19"/>
      <c r="PUB4" s="19"/>
      <c r="PUF4" s="19"/>
      <c r="PUJ4" s="19"/>
      <c r="PUN4" s="19"/>
      <c r="PUR4" s="19"/>
      <c r="PUV4" s="19"/>
      <c r="PUZ4" s="19"/>
      <c r="PVD4" s="19"/>
      <c r="PVH4" s="19"/>
      <c r="PVL4" s="19"/>
      <c r="PVP4" s="19"/>
      <c r="PVT4" s="19"/>
      <c r="PVX4" s="19"/>
      <c r="PWB4" s="19"/>
      <c r="PWF4" s="19"/>
      <c r="PWJ4" s="19"/>
      <c r="PWN4" s="19"/>
      <c r="PWR4" s="19"/>
      <c r="PWV4" s="19"/>
      <c r="PWZ4" s="19"/>
      <c r="PXD4" s="19"/>
      <c r="PXH4" s="19"/>
      <c r="PXL4" s="19"/>
      <c r="PXP4" s="19"/>
      <c r="PXT4" s="19"/>
      <c r="PXX4" s="19"/>
      <c r="PYB4" s="19"/>
      <c r="PYF4" s="19"/>
      <c r="PYJ4" s="19"/>
      <c r="PYN4" s="19"/>
      <c r="PYR4" s="19"/>
      <c r="PYV4" s="19"/>
      <c r="PYZ4" s="19"/>
      <c r="PZD4" s="19"/>
      <c r="PZH4" s="19"/>
      <c r="PZL4" s="19"/>
      <c r="PZP4" s="19"/>
      <c r="PZT4" s="19"/>
      <c r="PZX4" s="19"/>
      <c r="QAB4" s="19"/>
      <c r="QAF4" s="19"/>
      <c r="QAJ4" s="19"/>
      <c r="QAN4" s="19"/>
      <c r="QAR4" s="19"/>
      <c r="QAV4" s="19"/>
      <c r="QAZ4" s="19"/>
      <c r="QBD4" s="19"/>
      <c r="QBH4" s="19"/>
      <c r="QBL4" s="19"/>
      <c r="QBP4" s="19"/>
      <c r="QBT4" s="19"/>
      <c r="QBX4" s="19"/>
      <c r="QCB4" s="19"/>
      <c r="QCF4" s="19"/>
      <c r="QCJ4" s="19"/>
      <c r="QCN4" s="19"/>
      <c r="QCR4" s="19"/>
      <c r="QCV4" s="19"/>
      <c r="QCZ4" s="19"/>
      <c r="QDD4" s="19"/>
      <c r="QDH4" s="19"/>
      <c r="QDL4" s="19"/>
      <c r="QDP4" s="19"/>
      <c r="QDT4" s="19"/>
      <c r="QDX4" s="19"/>
      <c r="QEB4" s="19"/>
      <c r="QEF4" s="19"/>
      <c r="QEJ4" s="19"/>
      <c r="QEN4" s="19"/>
      <c r="QER4" s="19"/>
      <c r="QEV4" s="19"/>
      <c r="QEZ4" s="19"/>
      <c r="QFD4" s="19"/>
      <c r="QFH4" s="19"/>
      <c r="QFL4" s="19"/>
      <c r="QFP4" s="19"/>
      <c r="QFT4" s="19"/>
      <c r="QFX4" s="19"/>
      <c r="QGB4" s="19"/>
      <c r="QGF4" s="19"/>
      <c r="QGJ4" s="19"/>
      <c r="QGN4" s="19"/>
      <c r="QGR4" s="19"/>
      <c r="QGV4" s="19"/>
      <c r="QGZ4" s="19"/>
      <c r="QHD4" s="19"/>
      <c r="QHH4" s="19"/>
      <c r="QHL4" s="19"/>
      <c r="QHP4" s="19"/>
      <c r="QHT4" s="19"/>
      <c r="QHX4" s="19"/>
      <c r="QIB4" s="19"/>
      <c r="QIF4" s="19"/>
      <c r="QIJ4" s="19"/>
      <c r="QIN4" s="19"/>
      <c r="QIR4" s="19"/>
      <c r="QIV4" s="19"/>
      <c r="QIZ4" s="19"/>
      <c r="QJD4" s="19"/>
      <c r="QJH4" s="19"/>
      <c r="QJL4" s="19"/>
      <c r="QJP4" s="19"/>
      <c r="QJT4" s="19"/>
      <c r="QJX4" s="19"/>
      <c r="QKB4" s="19"/>
      <c r="QKF4" s="19"/>
      <c r="QKJ4" s="19"/>
      <c r="QKN4" s="19"/>
      <c r="QKR4" s="19"/>
      <c r="QKV4" s="19"/>
      <c r="QKZ4" s="19"/>
      <c r="QLD4" s="19"/>
      <c r="QLH4" s="19"/>
      <c r="QLL4" s="19"/>
      <c r="QLP4" s="19"/>
      <c r="QLT4" s="19"/>
      <c r="QLX4" s="19"/>
      <c r="QMB4" s="19"/>
      <c r="QMF4" s="19"/>
      <c r="QMJ4" s="19"/>
      <c r="QMN4" s="19"/>
      <c r="QMR4" s="19"/>
      <c r="QMV4" s="19"/>
      <c r="QMZ4" s="19"/>
      <c r="QND4" s="19"/>
      <c r="QNH4" s="19"/>
      <c r="QNL4" s="19"/>
      <c r="QNP4" s="19"/>
      <c r="QNT4" s="19"/>
      <c r="QNX4" s="19"/>
      <c r="QOB4" s="19"/>
      <c r="QOF4" s="19"/>
      <c r="QOJ4" s="19"/>
      <c r="QON4" s="19"/>
      <c r="QOR4" s="19"/>
      <c r="QOV4" s="19"/>
      <c r="QOZ4" s="19"/>
      <c r="QPD4" s="19"/>
      <c r="QPH4" s="19"/>
      <c r="QPL4" s="19"/>
      <c r="QPP4" s="19"/>
      <c r="QPT4" s="19"/>
      <c r="QPX4" s="19"/>
      <c r="QQB4" s="19"/>
      <c r="QQF4" s="19"/>
      <c r="QQJ4" s="19"/>
      <c r="QQN4" s="19"/>
      <c r="QQR4" s="19"/>
      <c r="QQV4" s="19"/>
      <c r="QQZ4" s="19"/>
      <c r="QRD4" s="19"/>
      <c r="QRH4" s="19"/>
      <c r="QRL4" s="19"/>
      <c r="QRP4" s="19"/>
      <c r="QRT4" s="19"/>
      <c r="QRX4" s="19"/>
      <c r="QSB4" s="19"/>
      <c r="QSF4" s="19"/>
      <c r="QSJ4" s="19"/>
      <c r="QSN4" s="19"/>
      <c r="QSR4" s="19"/>
      <c r="QSV4" s="19"/>
      <c r="QSZ4" s="19"/>
      <c r="QTD4" s="19"/>
      <c r="QTH4" s="19"/>
      <c r="QTL4" s="19"/>
      <c r="QTP4" s="19"/>
      <c r="QTT4" s="19"/>
      <c r="QTX4" s="19"/>
      <c r="QUB4" s="19"/>
      <c r="QUF4" s="19"/>
      <c r="QUJ4" s="19"/>
      <c r="QUN4" s="19"/>
      <c r="QUR4" s="19"/>
      <c r="QUV4" s="19"/>
      <c r="QUZ4" s="19"/>
      <c r="QVD4" s="19"/>
      <c r="QVH4" s="19"/>
      <c r="QVL4" s="19"/>
      <c r="QVP4" s="19"/>
      <c r="QVT4" s="19"/>
      <c r="QVX4" s="19"/>
      <c r="QWB4" s="19"/>
      <c r="QWF4" s="19"/>
      <c r="QWJ4" s="19"/>
      <c r="QWN4" s="19"/>
      <c r="QWR4" s="19"/>
      <c r="QWV4" s="19"/>
      <c r="QWZ4" s="19"/>
      <c r="QXD4" s="19"/>
      <c r="QXH4" s="19"/>
      <c r="QXL4" s="19"/>
      <c r="QXP4" s="19"/>
      <c r="QXT4" s="19"/>
      <c r="QXX4" s="19"/>
      <c r="QYB4" s="19"/>
      <c r="QYF4" s="19"/>
      <c r="QYJ4" s="19"/>
      <c r="QYN4" s="19"/>
      <c r="QYR4" s="19"/>
      <c r="QYV4" s="19"/>
      <c r="QYZ4" s="19"/>
      <c r="QZD4" s="19"/>
      <c r="QZH4" s="19"/>
      <c r="QZL4" s="19"/>
      <c r="QZP4" s="19"/>
      <c r="QZT4" s="19"/>
      <c r="QZX4" s="19"/>
      <c r="RAB4" s="19"/>
      <c r="RAF4" s="19"/>
      <c r="RAJ4" s="19"/>
      <c r="RAN4" s="19"/>
      <c r="RAR4" s="19"/>
      <c r="RAV4" s="19"/>
      <c r="RAZ4" s="19"/>
      <c r="RBD4" s="19"/>
      <c r="RBH4" s="19"/>
      <c r="RBL4" s="19"/>
      <c r="RBP4" s="19"/>
      <c r="RBT4" s="19"/>
      <c r="RBX4" s="19"/>
      <c r="RCB4" s="19"/>
      <c r="RCF4" s="19"/>
      <c r="RCJ4" s="19"/>
      <c r="RCN4" s="19"/>
      <c r="RCR4" s="19"/>
      <c r="RCV4" s="19"/>
      <c r="RCZ4" s="19"/>
      <c r="RDD4" s="19"/>
      <c r="RDH4" s="19"/>
      <c r="RDL4" s="19"/>
      <c r="RDP4" s="19"/>
      <c r="RDT4" s="19"/>
      <c r="RDX4" s="19"/>
      <c r="REB4" s="19"/>
      <c r="REF4" s="19"/>
      <c r="REJ4" s="19"/>
      <c r="REN4" s="19"/>
      <c r="RER4" s="19"/>
      <c r="REV4" s="19"/>
      <c r="REZ4" s="19"/>
      <c r="RFD4" s="19"/>
      <c r="RFH4" s="19"/>
      <c r="RFL4" s="19"/>
      <c r="RFP4" s="19"/>
      <c r="RFT4" s="19"/>
      <c r="RFX4" s="19"/>
      <c r="RGB4" s="19"/>
      <c r="RGF4" s="19"/>
      <c r="RGJ4" s="19"/>
      <c r="RGN4" s="19"/>
      <c r="RGR4" s="19"/>
      <c r="RGV4" s="19"/>
      <c r="RGZ4" s="19"/>
      <c r="RHD4" s="19"/>
      <c r="RHH4" s="19"/>
      <c r="RHL4" s="19"/>
      <c r="RHP4" s="19"/>
      <c r="RHT4" s="19"/>
      <c r="RHX4" s="19"/>
      <c r="RIB4" s="19"/>
      <c r="RIF4" s="19"/>
      <c r="RIJ4" s="19"/>
      <c r="RIN4" s="19"/>
      <c r="RIR4" s="19"/>
      <c r="RIV4" s="19"/>
      <c r="RIZ4" s="19"/>
      <c r="RJD4" s="19"/>
      <c r="RJH4" s="19"/>
      <c r="RJL4" s="19"/>
      <c r="RJP4" s="19"/>
      <c r="RJT4" s="19"/>
      <c r="RJX4" s="19"/>
      <c r="RKB4" s="19"/>
      <c r="RKF4" s="19"/>
      <c r="RKJ4" s="19"/>
      <c r="RKN4" s="19"/>
      <c r="RKR4" s="19"/>
      <c r="RKV4" s="19"/>
      <c r="RKZ4" s="19"/>
      <c r="RLD4" s="19"/>
      <c r="RLH4" s="19"/>
      <c r="RLL4" s="19"/>
      <c r="RLP4" s="19"/>
      <c r="RLT4" s="19"/>
      <c r="RLX4" s="19"/>
      <c r="RMB4" s="19"/>
      <c r="RMF4" s="19"/>
      <c r="RMJ4" s="19"/>
      <c r="RMN4" s="19"/>
      <c r="RMR4" s="19"/>
      <c r="RMV4" s="19"/>
      <c r="RMZ4" s="19"/>
      <c r="RND4" s="19"/>
      <c r="RNH4" s="19"/>
      <c r="RNL4" s="19"/>
      <c r="RNP4" s="19"/>
      <c r="RNT4" s="19"/>
      <c r="RNX4" s="19"/>
      <c r="ROB4" s="19"/>
      <c r="ROF4" s="19"/>
      <c r="ROJ4" s="19"/>
      <c r="RON4" s="19"/>
      <c r="ROR4" s="19"/>
      <c r="ROV4" s="19"/>
      <c r="ROZ4" s="19"/>
      <c r="RPD4" s="19"/>
      <c r="RPH4" s="19"/>
      <c r="RPL4" s="19"/>
      <c r="RPP4" s="19"/>
      <c r="RPT4" s="19"/>
      <c r="RPX4" s="19"/>
      <c r="RQB4" s="19"/>
      <c r="RQF4" s="19"/>
      <c r="RQJ4" s="19"/>
      <c r="RQN4" s="19"/>
      <c r="RQR4" s="19"/>
      <c r="RQV4" s="19"/>
      <c r="RQZ4" s="19"/>
      <c r="RRD4" s="19"/>
      <c r="RRH4" s="19"/>
      <c r="RRL4" s="19"/>
      <c r="RRP4" s="19"/>
      <c r="RRT4" s="19"/>
      <c r="RRX4" s="19"/>
      <c r="RSB4" s="19"/>
      <c r="RSF4" s="19"/>
      <c r="RSJ4" s="19"/>
      <c r="RSN4" s="19"/>
      <c r="RSR4" s="19"/>
      <c r="RSV4" s="19"/>
      <c r="RSZ4" s="19"/>
      <c r="RTD4" s="19"/>
      <c r="RTH4" s="19"/>
      <c r="RTL4" s="19"/>
      <c r="RTP4" s="19"/>
      <c r="RTT4" s="19"/>
      <c r="RTX4" s="19"/>
      <c r="RUB4" s="19"/>
      <c r="RUF4" s="19"/>
      <c r="RUJ4" s="19"/>
      <c r="RUN4" s="19"/>
      <c r="RUR4" s="19"/>
      <c r="RUV4" s="19"/>
      <c r="RUZ4" s="19"/>
      <c r="RVD4" s="19"/>
      <c r="RVH4" s="19"/>
      <c r="RVL4" s="19"/>
      <c r="RVP4" s="19"/>
      <c r="RVT4" s="19"/>
      <c r="RVX4" s="19"/>
      <c r="RWB4" s="19"/>
      <c r="RWF4" s="19"/>
      <c r="RWJ4" s="19"/>
      <c r="RWN4" s="19"/>
      <c r="RWR4" s="19"/>
      <c r="RWV4" s="19"/>
      <c r="RWZ4" s="19"/>
      <c r="RXD4" s="19"/>
      <c r="RXH4" s="19"/>
      <c r="RXL4" s="19"/>
      <c r="RXP4" s="19"/>
      <c r="RXT4" s="19"/>
      <c r="RXX4" s="19"/>
      <c r="RYB4" s="19"/>
      <c r="RYF4" s="19"/>
      <c r="RYJ4" s="19"/>
      <c r="RYN4" s="19"/>
      <c r="RYR4" s="19"/>
      <c r="RYV4" s="19"/>
      <c r="RYZ4" s="19"/>
      <c r="RZD4" s="19"/>
      <c r="RZH4" s="19"/>
      <c r="RZL4" s="19"/>
      <c r="RZP4" s="19"/>
      <c r="RZT4" s="19"/>
      <c r="RZX4" s="19"/>
      <c r="SAB4" s="19"/>
      <c r="SAF4" s="19"/>
      <c r="SAJ4" s="19"/>
      <c r="SAN4" s="19"/>
      <c r="SAR4" s="19"/>
      <c r="SAV4" s="19"/>
      <c r="SAZ4" s="19"/>
      <c r="SBD4" s="19"/>
      <c r="SBH4" s="19"/>
      <c r="SBL4" s="19"/>
      <c r="SBP4" s="19"/>
      <c r="SBT4" s="19"/>
      <c r="SBX4" s="19"/>
      <c r="SCB4" s="19"/>
      <c r="SCF4" s="19"/>
      <c r="SCJ4" s="19"/>
      <c r="SCN4" s="19"/>
      <c r="SCR4" s="19"/>
      <c r="SCV4" s="19"/>
      <c r="SCZ4" s="19"/>
      <c r="SDD4" s="19"/>
      <c r="SDH4" s="19"/>
      <c r="SDL4" s="19"/>
      <c r="SDP4" s="19"/>
      <c r="SDT4" s="19"/>
      <c r="SDX4" s="19"/>
      <c r="SEB4" s="19"/>
      <c r="SEF4" s="19"/>
      <c r="SEJ4" s="19"/>
      <c r="SEN4" s="19"/>
      <c r="SER4" s="19"/>
      <c r="SEV4" s="19"/>
      <c r="SEZ4" s="19"/>
      <c r="SFD4" s="19"/>
      <c r="SFH4" s="19"/>
      <c r="SFL4" s="19"/>
      <c r="SFP4" s="19"/>
      <c r="SFT4" s="19"/>
      <c r="SFX4" s="19"/>
      <c r="SGB4" s="19"/>
      <c r="SGF4" s="19"/>
      <c r="SGJ4" s="19"/>
      <c r="SGN4" s="19"/>
      <c r="SGR4" s="19"/>
      <c r="SGV4" s="19"/>
      <c r="SGZ4" s="19"/>
      <c r="SHD4" s="19"/>
      <c r="SHH4" s="19"/>
      <c r="SHL4" s="19"/>
      <c r="SHP4" s="19"/>
      <c r="SHT4" s="19"/>
      <c r="SHX4" s="19"/>
      <c r="SIB4" s="19"/>
      <c r="SIF4" s="19"/>
      <c r="SIJ4" s="19"/>
      <c r="SIN4" s="19"/>
      <c r="SIR4" s="19"/>
      <c r="SIV4" s="19"/>
      <c r="SIZ4" s="19"/>
      <c r="SJD4" s="19"/>
      <c r="SJH4" s="19"/>
      <c r="SJL4" s="19"/>
      <c r="SJP4" s="19"/>
      <c r="SJT4" s="19"/>
      <c r="SJX4" s="19"/>
      <c r="SKB4" s="19"/>
      <c r="SKF4" s="19"/>
      <c r="SKJ4" s="19"/>
      <c r="SKN4" s="19"/>
      <c r="SKR4" s="19"/>
      <c r="SKV4" s="19"/>
      <c r="SKZ4" s="19"/>
      <c r="SLD4" s="19"/>
      <c r="SLH4" s="19"/>
      <c r="SLL4" s="19"/>
      <c r="SLP4" s="19"/>
      <c r="SLT4" s="19"/>
      <c r="SLX4" s="19"/>
      <c r="SMB4" s="19"/>
      <c r="SMF4" s="19"/>
      <c r="SMJ4" s="19"/>
      <c r="SMN4" s="19"/>
      <c r="SMR4" s="19"/>
      <c r="SMV4" s="19"/>
      <c r="SMZ4" s="19"/>
      <c r="SND4" s="19"/>
      <c r="SNH4" s="19"/>
      <c r="SNL4" s="19"/>
      <c r="SNP4" s="19"/>
      <c r="SNT4" s="19"/>
      <c r="SNX4" s="19"/>
      <c r="SOB4" s="19"/>
      <c r="SOF4" s="19"/>
      <c r="SOJ4" s="19"/>
      <c r="SON4" s="19"/>
      <c r="SOR4" s="19"/>
      <c r="SOV4" s="19"/>
      <c r="SOZ4" s="19"/>
      <c r="SPD4" s="19"/>
      <c r="SPH4" s="19"/>
      <c r="SPL4" s="19"/>
      <c r="SPP4" s="19"/>
      <c r="SPT4" s="19"/>
      <c r="SPX4" s="19"/>
      <c r="SQB4" s="19"/>
      <c r="SQF4" s="19"/>
      <c r="SQJ4" s="19"/>
      <c r="SQN4" s="19"/>
      <c r="SQR4" s="19"/>
      <c r="SQV4" s="19"/>
      <c r="SQZ4" s="19"/>
      <c r="SRD4" s="19"/>
      <c r="SRH4" s="19"/>
      <c r="SRL4" s="19"/>
      <c r="SRP4" s="19"/>
      <c r="SRT4" s="19"/>
      <c r="SRX4" s="19"/>
      <c r="SSB4" s="19"/>
      <c r="SSF4" s="19"/>
      <c r="SSJ4" s="19"/>
      <c r="SSN4" s="19"/>
      <c r="SSR4" s="19"/>
      <c r="SSV4" s="19"/>
      <c r="SSZ4" s="19"/>
      <c r="STD4" s="19"/>
      <c r="STH4" s="19"/>
      <c r="STL4" s="19"/>
      <c r="STP4" s="19"/>
      <c r="STT4" s="19"/>
      <c r="STX4" s="19"/>
      <c r="SUB4" s="19"/>
      <c r="SUF4" s="19"/>
      <c r="SUJ4" s="19"/>
      <c r="SUN4" s="19"/>
      <c r="SUR4" s="19"/>
      <c r="SUV4" s="19"/>
      <c r="SUZ4" s="19"/>
      <c r="SVD4" s="19"/>
      <c r="SVH4" s="19"/>
      <c r="SVL4" s="19"/>
      <c r="SVP4" s="19"/>
      <c r="SVT4" s="19"/>
      <c r="SVX4" s="19"/>
      <c r="SWB4" s="19"/>
      <c r="SWF4" s="19"/>
      <c r="SWJ4" s="19"/>
      <c r="SWN4" s="19"/>
      <c r="SWR4" s="19"/>
      <c r="SWV4" s="19"/>
      <c r="SWZ4" s="19"/>
      <c r="SXD4" s="19"/>
      <c r="SXH4" s="19"/>
      <c r="SXL4" s="19"/>
      <c r="SXP4" s="19"/>
      <c r="SXT4" s="19"/>
      <c r="SXX4" s="19"/>
      <c r="SYB4" s="19"/>
      <c r="SYF4" s="19"/>
      <c r="SYJ4" s="19"/>
      <c r="SYN4" s="19"/>
      <c r="SYR4" s="19"/>
      <c r="SYV4" s="19"/>
      <c r="SYZ4" s="19"/>
      <c r="SZD4" s="19"/>
      <c r="SZH4" s="19"/>
      <c r="SZL4" s="19"/>
      <c r="SZP4" s="19"/>
      <c r="SZT4" s="19"/>
      <c r="SZX4" s="19"/>
      <c r="TAB4" s="19"/>
      <c r="TAF4" s="19"/>
      <c r="TAJ4" s="19"/>
      <c r="TAN4" s="19"/>
      <c r="TAR4" s="19"/>
      <c r="TAV4" s="19"/>
      <c r="TAZ4" s="19"/>
      <c r="TBD4" s="19"/>
      <c r="TBH4" s="19"/>
      <c r="TBL4" s="19"/>
      <c r="TBP4" s="19"/>
      <c r="TBT4" s="19"/>
      <c r="TBX4" s="19"/>
      <c r="TCB4" s="19"/>
      <c r="TCF4" s="19"/>
      <c r="TCJ4" s="19"/>
      <c r="TCN4" s="19"/>
      <c r="TCR4" s="19"/>
      <c r="TCV4" s="19"/>
      <c r="TCZ4" s="19"/>
      <c r="TDD4" s="19"/>
      <c r="TDH4" s="19"/>
      <c r="TDL4" s="19"/>
      <c r="TDP4" s="19"/>
      <c r="TDT4" s="19"/>
      <c r="TDX4" s="19"/>
      <c r="TEB4" s="19"/>
      <c r="TEF4" s="19"/>
      <c r="TEJ4" s="19"/>
      <c r="TEN4" s="19"/>
      <c r="TER4" s="19"/>
      <c r="TEV4" s="19"/>
      <c r="TEZ4" s="19"/>
      <c r="TFD4" s="19"/>
      <c r="TFH4" s="19"/>
      <c r="TFL4" s="19"/>
      <c r="TFP4" s="19"/>
      <c r="TFT4" s="19"/>
      <c r="TFX4" s="19"/>
      <c r="TGB4" s="19"/>
      <c r="TGF4" s="19"/>
      <c r="TGJ4" s="19"/>
      <c r="TGN4" s="19"/>
      <c r="TGR4" s="19"/>
      <c r="TGV4" s="19"/>
      <c r="TGZ4" s="19"/>
      <c r="THD4" s="19"/>
      <c r="THH4" s="19"/>
      <c r="THL4" s="19"/>
      <c r="THP4" s="19"/>
      <c r="THT4" s="19"/>
      <c r="THX4" s="19"/>
      <c r="TIB4" s="19"/>
      <c r="TIF4" s="19"/>
      <c r="TIJ4" s="19"/>
      <c r="TIN4" s="19"/>
      <c r="TIR4" s="19"/>
      <c r="TIV4" s="19"/>
      <c r="TIZ4" s="19"/>
      <c r="TJD4" s="19"/>
      <c r="TJH4" s="19"/>
      <c r="TJL4" s="19"/>
      <c r="TJP4" s="19"/>
      <c r="TJT4" s="19"/>
      <c r="TJX4" s="19"/>
      <c r="TKB4" s="19"/>
      <c r="TKF4" s="19"/>
      <c r="TKJ4" s="19"/>
      <c r="TKN4" s="19"/>
      <c r="TKR4" s="19"/>
      <c r="TKV4" s="19"/>
      <c r="TKZ4" s="19"/>
      <c r="TLD4" s="19"/>
      <c r="TLH4" s="19"/>
      <c r="TLL4" s="19"/>
      <c r="TLP4" s="19"/>
      <c r="TLT4" s="19"/>
      <c r="TLX4" s="19"/>
      <c r="TMB4" s="19"/>
      <c r="TMF4" s="19"/>
      <c r="TMJ4" s="19"/>
      <c r="TMN4" s="19"/>
      <c r="TMR4" s="19"/>
      <c r="TMV4" s="19"/>
      <c r="TMZ4" s="19"/>
      <c r="TND4" s="19"/>
      <c r="TNH4" s="19"/>
      <c r="TNL4" s="19"/>
      <c r="TNP4" s="19"/>
      <c r="TNT4" s="19"/>
      <c r="TNX4" s="19"/>
      <c r="TOB4" s="19"/>
      <c r="TOF4" s="19"/>
      <c r="TOJ4" s="19"/>
      <c r="TON4" s="19"/>
      <c r="TOR4" s="19"/>
      <c r="TOV4" s="19"/>
      <c r="TOZ4" s="19"/>
      <c r="TPD4" s="19"/>
      <c r="TPH4" s="19"/>
      <c r="TPL4" s="19"/>
      <c r="TPP4" s="19"/>
      <c r="TPT4" s="19"/>
      <c r="TPX4" s="19"/>
      <c r="TQB4" s="19"/>
      <c r="TQF4" s="19"/>
      <c r="TQJ4" s="19"/>
      <c r="TQN4" s="19"/>
      <c r="TQR4" s="19"/>
      <c r="TQV4" s="19"/>
      <c r="TQZ4" s="19"/>
      <c r="TRD4" s="19"/>
      <c r="TRH4" s="19"/>
      <c r="TRL4" s="19"/>
      <c r="TRP4" s="19"/>
      <c r="TRT4" s="19"/>
      <c r="TRX4" s="19"/>
      <c r="TSB4" s="19"/>
      <c r="TSF4" s="19"/>
      <c r="TSJ4" s="19"/>
      <c r="TSN4" s="19"/>
      <c r="TSR4" s="19"/>
      <c r="TSV4" s="19"/>
      <c r="TSZ4" s="19"/>
      <c r="TTD4" s="19"/>
      <c r="TTH4" s="19"/>
      <c r="TTL4" s="19"/>
      <c r="TTP4" s="19"/>
      <c r="TTT4" s="19"/>
      <c r="TTX4" s="19"/>
      <c r="TUB4" s="19"/>
      <c r="TUF4" s="19"/>
      <c r="TUJ4" s="19"/>
      <c r="TUN4" s="19"/>
      <c r="TUR4" s="19"/>
      <c r="TUV4" s="19"/>
      <c r="TUZ4" s="19"/>
      <c r="TVD4" s="19"/>
      <c r="TVH4" s="19"/>
      <c r="TVL4" s="19"/>
      <c r="TVP4" s="19"/>
      <c r="TVT4" s="19"/>
      <c r="TVX4" s="19"/>
      <c r="TWB4" s="19"/>
      <c r="TWF4" s="19"/>
      <c r="TWJ4" s="19"/>
      <c r="TWN4" s="19"/>
      <c r="TWR4" s="19"/>
      <c r="TWV4" s="19"/>
      <c r="TWZ4" s="19"/>
      <c r="TXD4" s="19"/>
      <c r="TXH4" s="19"/>
      <c r="TXL4" s="19"/>
      <c r="TXP4" s="19"/>
      <c r="TXT4" s="19"/>
      <c r="TXX4" s="19"/>
      <c r="TYB4" s="19"/>
      <c r="TYF4" s="19"/>
      <c r="TYJ4" s="19"/>
      <c r="TYN4" s="19"/>
      <c r="TYR4" s="19"/>
      <c r="TYV4" s="19"/>
      <c r="TYZ4" s="19"/>
      <c r="TZD4" s="19"/>
      <c r="TZH4" s="19"/>
      <c r="TZL4" s="19"/>
      <c r="TZP4" s="19"/>
      <c r="TZT4" s="19"/>
      <c r="TZX4" s="19"/>
      <c r="UAB4" s="19"/>
      <c r="UAF4" s="19"/>
      <c r="UAJ4" s="19"/>
      <c r="UAN4" s="19"/>
      <c r="UAR4" s="19"/>
      <c r="UAV4" s="19"/>
      <c r="UAZ4" s="19"/>
      <c r="UBD4" s="19"/>
      <c r="UBH4" s="19"/>
      <c r="UBL4" s="19"/>
      <c r="UBP4" s="19"/>
      <c r="UBT4" s="19"/>
      <c r="UBX4" s="19"/>
      <c r="UCB4" s="19"/>
      <c r="UCF4" s="19"/>
      <c r="UCJ4" s="19"/>
      <c r="UCN4" s="19"/>
      <c r="UCR4" s="19"/>
      <c r="UCV4" s="19"/>
      <c r="UCZ4" s="19"/>
      <c r="UDD4" s="19"/>
      <c r="UDH4" s="19"/>
      <c r="UDL4" s="19"/>
      <c r="UDP4" s="19"/>
      <c r="UDT4" s="19"/>
      <c r="UDX4" s="19"/>
      <c r="UEB4" s="19"/>
      <c r="UEF4" s="19"/>
      <c r="UEJ4" s="19"/>
      <c r="UEN4" s="19"/>
      <c r="UER4" s="19"/>
      <c r="UEV4" s="19"/>
      <c r="UEZ4" s="19"/>
      <c r="UFD4" s="19"/>
      <c r="UFH4" s="19"/>
      <c r="UFL4" s="19"/>
      <c r="UFP4" s="19"/>
      <c r="UFT4" s="19"/>
      <c r="UFX4" s="19"/>
      <c r="UGB4" s="19"/>
      <c r="UGF4" s="19"/>
      <c r="UGJ4" s="19"/>
      <c r="UGN4" s="19"/>
      <c r="UGR4" s="19"/>
      <c r="UGV4" s="19"/>
      <c r="UGZ4" s="19"/>
      <c r="UHD4" s="19"/>
      <c r="UHH4" s="19"/>
      <c r="UHL4" s="19"/>
      <c r="UHP4" s="19"/>
      <c r="UHT4" s="19"/>
      <c r="UHX4" s="19"/>
      <c r="UIB4" s="19"/>
      <c r="UIF4" s="19"/>
      <c r="UIJ4" s="19"/>
      <c r="UIN4" s="19"/>
      <c r="UIR4" s="19"/>
      <c r="UIV4" s="19"/>
      <c r="UIZ4" s="19"/>
      <c r="UJD4" s="19"/>
      <c r="UJH4" s="19"/>
      <c r="UJL4" s="19"/>
      <c r="UJP4" s="19"/>
      <c r="UJT4" s="19"/>
      <c r="UJX4" s="19"/>
      <c r="UKB4" s="19"/>
      <c r="UKF4" s="19"/>
      <c r="UKJ4" s="19"/>
      <c r="UKN4" s="19"/>
      <c r="UKR4" s="19"/>
      <c r="UKV4" s="19"/>
      <c r="UKZ4" s="19"/>
      <c r="ULD4" s="19"/>
      <c r="ULH4" s="19"/>
      <c r="ULL4" s="19"/>
      <c r="ULP4" s="19"/>
      <c r="ULT4" s="19"/>
      <c r="ULX4" s="19"/>
      <c r="UMB4" s="19"/>
      <c r="UMF4" s="19"/>
      <c r="UMJ4" s="19"/>
      <c r="UMN4" s="19"/>
      <c r="UMR4" s="19"/>
      <c r="UMV4" s="19"/>
      <c r="UMZ4" s="19"/>
      <c r="UND4" s="19"/>
      <c r="UNH4" s="19"/>
      <c r="UNL4" s="19"/>
      <c r="UNP4" s="19"/>
      <c r="UNT4" s="19"/>
      <c r="UNX4" s="19"/>
      <c r="UOB4" s="19"/>
      <c r="UOF4" s="19"/>
      <c r="UOJ4" s="19"/>
      <c r="UON4" s="19"/>
      <c r="UOR4" s="19"/>
      <c r="UOV4" s="19"/>
      <c r="UOZ4" s="19"/>
      <c r="UPD4" s="19"/>
      <c r="UPH4" s="19"/>
      <c r="UPL4" s="19"/>
      <c r="UPP4" s="19"/>
      <c r="UPT4" s="19"/>
      <c r="UPX4" s="19"/>
      <c r="UQB4" s="19"/>
      <c r="UQF4" s="19"/>
      <c r="UQJ4" s="19"/>
      <c r="UQN4" s="19"/>
      <c r="UQR4" s="19"/>
      <c r="UQV4" s="19"/>
      <c r="UQZ4" s="19"/>
      <c r="URD4" s="19"/>
      <c r="URH4" s="19"/>
      <c r="URL4" s="19"/>
      <c r="URP4" s="19"/>
      <c r="URT4" s="19"/>
      <c r="URX4" s="19"/>
      <c r="USB4" s="19"/>
      <c r="USF4" s="19"/>
      <c r="USJ4" s="19"/>
      <c r="USN4" s="19"/>
      <c r="USR4" s="19"/>
      <c r="USV4" s="19"/>
      <c r="USZ4" s="19"/>
      <c r="UTD4" s="19"/>
      <c r="UTH4" s="19"/>
      <c r="UTL4" s="19"/>
      <c r="UTP4" s="19"/>
      <c r="UTT4" s="19"/>
      <c r="UTX4" s="19"/>
      <c r="UUB4" s="19"/>
      <c r="UUF4" s="19"/>
      <c r="UUJ4" s="19"/>
      <c r="UUN4" s="19"/>
      <c r="UUR4" s="19"/>
      <c r="UUV4" s="19"/>
      <c r="UUZ4" s="19"/>
      <c r="UVD4" s="19"/>
      <c r="UVH4" s="19"/>
      <c r="UVL4" s="19"/>
      <c r="UVP4" s="19"/>
      <c r="UVT4" s="19"/>
      <c r="UVX4" s="19"/>
      <c r="UWB4" s="19"/>
      <c r="UWF4" s="19"/>
      <c r="UWJ4" s="19"/>
      <c r="UWN4" s="19"/>
      <c r="UWR4" s="19"/>
      <c r="UWV4" s="19"/>
      <c r="UWZ4" s="19"/>
      <c r="UXD4" s="19"/>
      <c r="UXH4" s="19"/>
      <c r="UXL4" s="19"/>
      <c r="UXP4" s="19"/>
      <c r="UXT4" s="19"/>
      <c r="UXX4" s="19"/>
      <c r="UYB4" s="19"/>
      <c r="UYF4" s="19"/>
      <c r="UYJ4" s="19"/>
      <c r="UYN4" s="19"/>
      <c r="UYR4" s="19"/>
      <c r="UYV4" s="19"/>
      <c r="UYZ4" s="19"/>
      <c r="UZD4" s="19"/>
      <c r="UZH4" s="19"/>
      <c r="UZL4" s="19"/>
      <c r="UZP4" s="19"/>
      <c r="UZT4" s="19"/>
      <c r="UZX4" s="19"/>
      <c r="VAB4" s="19"/>
      <c r="VAF4" s="19"/>
      <c r="VAJ4" s="19"/>
      <c r="VAN4" s="19"/>
      <c r="VAR4" s="19"/>
      <c r="VAV4" s="19"/>
      <c r="VAZ4" s="19"/>
      <c r="VBD4" s="19"/>
      <c r="VBH4" s="19"/>
      <c r="VBL4" s="19"/>
      <c r="VBP4" s="19"/>
      <c r="VBT4" s="19"/>
      <c r="VBX4" s="19"/>
      <c r="VCB4" s="19"/>
      <c r="VCF4" s="19"/>
      <c r="VCJ4" s="19"/>
      <c r="VCN4" s="19"/>
      <c r="VCR4" s="19"/>
      <c r="VCV4" s="19"/>
      <c r="VCZ4" s="19"/>
      <c r="VDD4" s="19"/>
      <c r="VDH4" s="19"/>
      <c r="VDL4" s="19"/>
      <c r="VDP4" s="19"/>
      <c r="VDT4" s="19"/>
      <c r="VDX4" s="19"/>
      <c r="VEB4" s="19"/>
      <c r="VEF4" s="19"/>
      <c r="VEJ4" s="19"/>
      <c r="VEN4" s="19"/>
      <c r="VER4" s="19"/>
      <c r="VEV4" s="19"/>
      <c r="VEZ4" s="19"/>
      <c r="VFD4" s="19"/>
      <c r="VFH4" s="19"/>
      <c r="VFL4" s="19"/>
      <c r="VFP4" s="19"/>
      <c r="VFT4" s="19"/>
      <c r="VFX4" s="19"/>
      <c r="VGB4" s="19"/>
      <c r="VGF4" s="19"/>
      <c r="VGJ4" s="19"/>
      <c r="VGN4" s="19"/>
      <c r="VGR4" s="19"/>
      <c r="VGV4" s="19"/>
      <c r="VGZ4" s="19"/>
      <c r="VHD4" s="19"/>
      <c r="VHH4" s="19"/>
      <c r="VHL4" s="19"/>
      <c r="VHP4" s="19"/>
      <c r="VHT4" s="19"/>
      <c r="VHX4" s="19"/>
      <c r="VIB4" s="19"/>
      <c r="VIF4" s="19"/>
      <c r="VIJ4" s="19"/>
      <c r="VIN4" s="19"/>
      <c r="VIR4" s="19"/>
      <c r="VIV4" s="19"/>
      <c r="VIZ4" s="19"/>
      <c r="VJD4" s="19"/>
      <c r="VJH4" s="19"/>
      <c r="VJL4" s="19"/>
      <c r="VJP4" s="19"/>
      <c r="VJT4" s="19"/>
      <c r="VJX4" s="19"/>
      <c r="VKB4" s="19"/>
      <c r="VKF4" s="19"/>
      <c r="VKJ4" s="19"/>
      <c r="VKN4" s="19"/>
      <c r="VKR4" s="19"/>
      <c r="VKV4" s="19"/>
      <c r="VKZ4" s="19"/>
      <c r="VLD4" s="19"/>
      <c r="VLH4" s="19"/>
      <c r="VLL4" s="19"/>
      <c r="VLP4" s="19"/>
      <c r="VLT4" s="19"/>
      <c r="VLX4" s="19"/>
      <c r="VMB4" s="19"/>
      <c r="VMF4" s="19"/>
      <c r="VMJ4" s="19"/>
      <c r="VMN4" s="19"/>
      <c r="VMR4" s="19"/>
      <c r="VMV4" s="19"/>
      <c r="VMZ4" s="19"/>
      <c r="VND4" s="19"/>
      <c r="VNH4" s="19"/>
      <c r="VNL4" s="19"/>
      <c r="VNP4" s="19"/>
      <c r="VNT4" s="19"/>
      <c r="VNX4" s="19"/>
      <c r="VOB4" s="19"/>
      <c r="VOF4" s="19"/>
      <c r="VOJ4" s="19"/>
      <c r="VON4" s="19"/>
      <c r="VOR4" s="19"/>
      <c r="VOV4" s="19"/>
      <c r="VOZ4" s="19"/>
      <c r="VPD4" s="19"/>
      <c r="VPH4" s="19"/>
      <c r="VPL4" s="19"/>
      <c r="VPP4" s="19"/>
      <c r="VPT4" s="19"/>
      <c r="VPX4" s="19"/>
      <c r="VQB4" s="19"/>
      <c r="VQF4" s="19"/>
      <c r="VQJ4" s="19"/>
      <c r="VQN4" s="19"/>
      <c r="VQR4" s="19"/>
      <c r="VQV4" s="19"/>
      <c r="VQZ4" s="19"/>
      <c r="VRD4" s="19"/>
      <c r="VRH4" s="19"/>
      <c r="VRL4" s="19"/>
      <c r="VRP4" s="19"/>
      <c r="VRT4" s="19"/>
      <c r="VRX4" s="19"/>
      <c r="VSB4" s="19"/>
      <c r="VSF4" s="19"/>
      <c r="VSJ4" s="19"/>
      <c r="VSN4" s="19"/>
      <c r="VSR4" s="19"/>
      <c r="VSV4" s="19"/>
      <c r="VSZ4" s="19"/>
      <c r="VTD4" s="19"/>
      <c r="VTH4" s="19"/>
      <c r="VTL4" s="19"/>
      <c r="VTP4" s="19"/>
      <c r="VTT4" s="19"/>
      <c r="VTX4" s="19"/>
      <c r="VUB4" s="19"/>
      <c r="VUF4" s="19"/>
      <c r="VUJ4" s="19"/>
      <c r="VUN4" s="19"/>
      <c r="VUR4" s="19"/>
      <c r="VUV4" s="19"/>
      <c r="VUZ4" s="19"/>
      <c r="VVD4" s="19"/>
      <c r="VVH4" s="19"/>
      <c r="VVL4" s="19"/>
      <c r="VVP4" s="19"/>
      <c r="VVT4" s="19"/>
      <c r="VVX4" s="19"/>
      <c r="VWB4" s="19"/>
      <c r="VWF4" s="19"/>
      <c r="VWJ4" s="19"/>
      <c r="VWN4" s="19"/>
      <c r="VWR4" s="19"/>
      <c r="VWV4" s="19"/>
      <c r="VWZ4" s="19"/>
      <c r="VXD4" s="19"/>
      <c r="VXH4" s="19"/>
      <c r="VXL4" s="19"/>
      <c r="VXP4" s="19"/>
      <c r="VXT4" s="19"/>
      <c r="VXX4" s="19"/>
      <c r="VYB4" s="19"/>
      <c r="VYF4" s="19"/>
      <c r="VYJ4" s="19"/>
      <c r="VYN4" s="19"/>
      <c r="VYR4" s="19"/>
      <c r="VYV4" s="19"/>
      <c r="VYZ4" s="19"/>
      <c r="VZD4" s="19"/>
      <c r="VZH4" s="19"/>
      <c r="VZL4" s="19"/>
      <c r="VZP4" s="19"/>
      <c r="VZT4" s="19"/>
      <c r="VZX4" s="19"/>
      <c r="WAB4" s="19"/>
      <c r="WAF4" s="19"/>
      <c r="WAJ4" s="19"/>
      <c r="WAN4" s="19"/>
      <c r="WAR4" s="19"/>
      <c r="WAV4" s="19"/>
      <c r="WAZ4" s="19"/>
      <c r="WBD4" s="19"/>
      <c r="WBH4" s="19"/>
      <c r="WBL4" s="19"/>
      <c r="WBP4" s="19"/>
      <c r="WBT4" s="19"/>
      <c r="WBX4" s="19"/>
      <c r="WCB4" s="19"/>
      <c r="WCF4" s="19"/>
      <c r="WCJ4" s="19"/>
      <c r="WCN4" s="19"/>
      <c r="WCR4" s="19"/>
      <c r="WCV4" s="19"/>
      <c r="WCZ4" s="19"/>
      <c r="WDD4" s="19"/>
      <c r="WDH4" s="19"/>
      <c r="WDL4" s="19"/>
      <c r="WDP4" s="19"/>
      <c r="WDT4" s="19"/>
      <c r="WDX4" s="19"/>
      <c r="WEB4" s="19"/>
      <c r="WEF4" s="19"/>
      <c r="WEJ4" s="19"/>
      <c r="WEN4" s="19"/>
      <c r="WER4" s="19"/>
      <c r="WEV4" s="19"/>
      <c r="WEZ4" s="19"/>
      <c r="WFD4" s="19"/>
      <c r="WFH4" s="19"/>
      <c r="WFL4" s="19"/>
      <c r="WFP4" s="19"/>
      <c r="WFT4" s="19"/>
      <c r="WFX4" s="19"/>
      <c r="WGB4" s="19"/>
      <c r="WGF4" s="19"/>
      <c r="WGJ4" s="19"/>
      <c r="WGN4" s="19"/>
      <c r="WGR4" s="19"/>
      <c r="WGV4" s="19"/>
      <c r="WGZ4" s="19"/>
      <c r="WHD4" s="19"/>
      <c r="WHH4" s="19"/>
      <c r="WHL4" s="19"/>
      <c r="WHP4" s="19"/>
      <c r="WHT4" s="19"/>
      <c r="WHX4" s="19"/>
      <c r="WIB4" s="19"/>
      <c r="WIF4" s="19"/>
      <c r="WIJ4" s="19"/>
      <c r="WIN4" s="19"/>
      <c r="WIR4" s="19"/>
      <c r="WIV4" s="19"/>
      <c r="WIZ4" s="19"/>
      <c r="WJD4" s="19"/>
      <c r="WJH4" s="19"/>
      <c r="WJL4" s="19"/>
      <c r="WJP4" s="19"/>
      <c r="WJT4" s="19"/>
      <c r="WJX4" s="19"/>
      <c r="WKB4" s="19"/>
      <c r="WKF4" s="19"/>
      <c r="WKJ4" s="19"/>
      <c r="WKN4" s="19"/>
      <c r="WKR4" s="19"/>
      <c r="WKV4" s="19"/>
      <c r="WKZ4" s="19"/>
      <c r="WLD4" s="19"/>
      <c r="WLH4" s="19"/>
      <c r="WLL4" s="19"/>
      <c r="WLP4" s="19"/>
      <c r="WLT4" s="19"/>
      <c r="WLX4" s="19"/>
      <c r="WMB4" s="19"/>
      <c r="WMF4" s="19"/>
      <c r="WMJ4" s="19"/>
      <c r="WMN4" s="19"/>
      <c r="WMR4" s="19"/>
      <c r="WMV4" s="19"/>
      <c r="WMZ4" s="19"/>
      <c r="WND4" s="19"/>
      <c r="WNH4" s="19"/>
      <c r="WNL4" s="19"/>
      <c r="WNP4" s="19"/>
      <c r="WNT4" s="19"/>
      <c r="WNX4" s="19"/>
      <c r="WOB4" s="19"/>
      <c r="WOF4" s="19"/>
      <c r="WOJ4" s="19"/>
      <c r="WON4" s="19"/>
      <c r="WOR4" s="19"/>
      <c r="WOV4" s="19"/>
      <c r="WOZ4" s="19"/>
      <c r="WPD4" s="19"/>
      <c r="WPH4" s="19"/>
      <c r="WPL4" s="19"/>
      <c r="WPP4" s="19"/>
      <c r="WPT4" s="19"/>
      <c r="WPX4" s="19"/>
      <c r="WQB4" s="19"/>
      <c r="WQF4" s="19"/>
      <c r="WQJ4" s="19"/>
      <c r="WQN4" s="19"/>
      <c r="WQR4" s="19"/>
      <c r="WQV4" s="19"/>
      <c r="WQZ4" s="19"/>
      <c r="WRD4" s="19"/>
      <c r="WRH4" s="19"/>
      <c r="WRL4" s="19"/>
      <c r="WRP4" s="19"/>
      <c r="WRT4" s="19"/>
      <c r="WRX4" s="19"/>
      <c r="WSB4" s="19"/>
      <c r="WSF4" s="19"/>
      <c r="WSJ4" s="19"/>
      <c r="WSN4" s="19"/>
      <c r="WSR4" s="19"/>
      <c r="WSV4" s="19"/>
      <c r="WSZ4" s="19"/>
      <c r="WTD4" s="19"/>
      <c r="WTH4" s="19"/>
      <c r="WTL4" s="19"/>
      <c r="WTP4" s="19"/>
      <c r="WTT4" s="19"/>
      <c r="WTX4" s="19"/>
      <c r="WUB4" s="19"/>
      <c r="WUF4" s="19"/>
      <c r="WUJ4" s="19"/>
      <c r="WUN4" s="19"/>
      <c r="WUR4" s="19"/>
      <c r="WUV4" s="19"/>
      <c r="WUZ4" s="19"/>
      <c r="WVD4" s="19"/>
      <c r="WVH4" s="19"/>
      <c r="WVL4" s="19"/>
      <c r="WVP4" s="19"/>
      <c r="WVT4" s="19"/>
      <c r="WVX4" s="19"/>
      <c r="WWB4" s="19"/>
      <c r="WWF4" s="19"/>
      <c r="WWJ4" s="19"/>
      <c r="WWN4" s="19"/>
      <c r="WWR4" s="19"/>
      <c r="WWV4" s="19"/>
      <c r="WWZ4" s="19"/>
      <c r="WXD4" s="19"/>
      <c r="WXH4" s="19"/>
      <c r="WXL4" s="19"/>
      <c r="WXP4" s="19"/>
      <c r="WXT4" s="19"/>
      <c r="WXX4" s="19"/>
      <c r="WYB4" s="19"/>
      <c r="WYF4" s="19"/>
      <c r="WYJ4" s="19"/>
      <c r="WYN4" s="19"/>
      <c r="WYR4" s="19"/>
      <c r="WYV4" s="19"/>
      <c r="WYZ4" s="19"/>
      <c r="WZD4" s="19"/>
      <c r="WZH4" s="19"/>
      <c r="WZL4" s="19"/>
      <c r="WZP4" s="19"/>
      <c r="WZT4" s="19"/>
      <c r="WZX4" s="19"/>
      <c r="XAB4" s="19"/>
      <c r="XAF4" s="19"/>
      <c r="XAJ4" s="19"/>
      <c r="XAN4" s="19"/>
      <c r="XAR4" s="19"/>
      <c r="XAV4" s="19"/>
      <c r="XAZ4" s="19"/>
      <c r="XBD4" s="19"/>
      <c r="XBH4" s="19"/>
      <c r="XBL4" s="19"/>
      <c r="XBP4" s="19"/>
      <c r="XBT4" s="19"/>
      <c r="XBX4" s="19"/>
      <c r="XCB4" s="19"/>
      <c r="XCF4" s="19"/>
      <c r="XCJ4" s="19"/>
      <c r="XCN4" s="19"/>
      <c r="XCR4" s="19"/>
      <c r="XCV4" s="19"/>
      <c r="XCZ4" s="19"/>
      <c r="XDD4" s="19"/>
      <c r="XDH4" s="19"/>
      <c r="XDL4" s="19"/>
      <c r="XDP4" s="19"/>
      <c r="XDT4" s="19"/>
      <c r="XDX4" s="19"/>
      <c r="XEB4" s="19"/>
      <c r="XEF4" s="19"/>
      <c r="XEJ4" s="19"/>
      <c r="XEN4" s="19"/>
      <c r="XER4" s="19"/>
      <c r="XEV4" s="19"/>
      <c r="XEZ4" s="19"/>
      <c r="XFD4" s="19"/>
    </row>
    <row r="5" spans="5:16384" ht="15.75">
      <c r="E5" s="19" t="s">
        <v>763</v>
      </c>
      <c r="H5" s="19"/>
      <c r="L5" s="19"/>
      <c r="P5" s="19"/>
      <c r="T5" s="19"/>
      <c r="X5" s="19"/>
      <c r="AB5" s="19"/>
      <c r="AF5" s="19"/>
      <c r="AJ5" s="19"/>
      <c r="AN5" s="19"/>
      <c r="AR5" s="19"/>
      <c r="AV5" s="19"/>
      <c r="AZ5" s="19"/>
      <c r="BD5" s="19"/>
      <c r="BH5" s="19"/>
      <c r="BL5" s="19"/>
      <c r="BP5" s="19"/>
      <c r="BT5" s="19"/>
      <c r="BX5" s="19"/>
      <c r="CB5" s="19"/>
      <c r="CF5" s="19"/>
      <c r="CJ5" s="19"/>
      <c r="CN5" s="19"/>
      <c r="CR5" s="19"/>
      <c r="CV5" s="19"/>
      <c r="CZ5" s="19"/>
      <c r="DD5" s="19"/>
      <c r="DH5" s="19"/>
      <c r="DL5" s="19"/>
      <c r="DP5" s="19"/>
      <c r="DT5" s="19"/>
      <c r="DX5" s="19"/>
      <c r="EB5" s="19"/>
      <c r="EF5" s="19"/>
      <c r="EJ5" s="19"/>
      <c r="EN5" s="19"/>
      <c r="ER5" s="19"/>
      <c r="EV5" s="19"/>
      <c r="EZ5" s="19"/>
      <c r="FD5" s="19"/>
      <c r="FH5" s="19"/>
      <c r="FL5" s="19"/>
      <c r="FP5" s="19"/>
      <c r="FT5" s="19"/>
      <c r="FX5" s="19"/>
      <c r="GB5" s="19"/>
      <c r="GF5" s="19"/>
      <c r="GJ5" s="19"/>
      <c r="GN5" s="19"/>
      <c r="GR5" s="19"/>
      <c r="GV5" s="19"/>
      <c r="GZ5" s="19"/>
      <c r="HD5" s="19"/>
      <c r="HH5" s="19"/>
      <c r="HL5" s="19"/>
      <c r="HP5" s="19"/>
      <c r="HT5" s="19"/>
      <c r="HX5" s="19"/>
      <c r="IB5" s="19"/>
      <c r="IF5" s="19"/>
      <c r="IJ5" s="19"/>
      <c r="IN5" s="19"/>
      <c r="IR5" s="19"/>
      <c r="IV5" s="19"/>
      <c r="IZ5" s="19"/>
      <c r="JD5" s="19"/>
      <c r="JH5" s="19"/>
      <c r="JL5" s="19"/>
      <c r="JP5" s="19"/>
      <c r="JT5" s="19"/>
      <c r="JX5" s="19"/>
      <c r="KB5" s="19"/>
      <c r="KF5" s="19"/>
      <c r="KJ5" s="19"/>
      <c r="KN5" s="19"/>
      <c r="KR5" s="19"/>
      <c r="KV5" s="19"/>
      <c r="KZ5" s="19"/>
      <c r="LD5" s="19"/>
      <c r="LH5" s="19"/>
      <c r="LL5" s="19"/>
      <c r="LP5" s="19"/>
      <c r="LT5" s="19"/>
      <c r="LX5" s="19"/>
      <c r="MB5" s="19"/>
      <c r="MF5" s="19"/>
      <c r="MJ5" s="19"/>
      <c r="MN5" s="19"/>
      <c r="MR5" s="19"/>
      <c r="MV5" s="19"/>
      <c r="MZ5" s="19"/>
      <c r="ND5" s="19"/>
      <c r="NH5" s="19"/>
      <c r="NL5" s="19"/>
      <c r="NP5" s="19"/>
      <c r="NT5" s="19"/>
      <c r="NX5" s="19"/>
      <c r="OB5" s="19"/>
      <c r="OF5" s="19"/>
      <c r="OJ5" s="19"/>
      <c r="ON5" s="19"/>
      <c r="OR5" s="19"/>
      <c r="OV5" s="19"/>
      <c r="OZ5" s="19"/>
      <c r="PD5" s="19"/>
      <c r="PH5" s="19"/>
      <c r="PL5" s="19"/>
      <c r="PP5" s="19"/>
      <c r="PT5" s="19"/>
      <c r="PX5" s="19"/>
      <c r="QB5" s="19"/>
      <c r="QF5" s="19"/>
      <c r="QJ5" s="19"/>
      <c r="QN5" s="19"/>
      <c r="QR5" s="19"/>
      <c r="QV5" s="19"/>
      <c r="QZ5" s="19"/>
      <c r="RD5" s="19"/>
      <c r="RH5" s="19"/>
      <c r="RL5" s="19"/>
      <c r="RP5" s="19"/>
      <c r="RT5" s="19"/>
      <c r="RX5" s="19"/>
      <c r="SB5" s="19"/>
      <c r="SF5" s="19"/>
      <c r="SJ5" s="19"/>
      <c r="SN5" s="19"/>
      <c r="SR5" s="19"/>
      <c r="SV5" s="19"/>
      <c r="SZ5" s="19"/>
      <c r="TD5" s="19"/>
      <c r="TH5" s="19"/>
      <c r="TL5" s="19"/>
      <c r="TP5" s="19"/>
      <c r="TT5" s="19"/>
      <c r="TX5" s="19"/>
      <c r="UB5" s="19"/>
      <c r="UF5" s="19"/>
      <c r="UJ5" s="19"/>
      <c r="UN5" s="19"/>
      <c r="UR5" s="19"/>
      <c r="UV5" s="19"/>
      <c r="UZ5" s="19"/>
      <c r="VD5" s="19"/>
      <c r="VH5" s="19"/>
      <c r="VL5" s="19"/>
      <c r="VP5" s="19"/>
      <c r="VT5" s="19"/>
      <c r="VX5" s="19"/>
      <c r="WB5" s="19"/>
      <c r="WF5" s="19"/>
      <c r="WJ5" s="19"/>
      <c r="WN5" s="19"/>
      <c r="WR5" s="19"/>
      <c r="WV5" s="19"/>
      <c r="WZ5" s="19"/>
      <c r="XD5" s="19"/>
      <c r="XH5" s="19"/>
      <c r="XL5" s="19"/>
      <c r="XP5" s="19"/>
      <c r="XT5" s="19"/>
      <c r="XX5" s="19"/>
      <c r="YB5" s="19"/>
      <c r="YF5" s="19"/>
      <c r="YJ5" s="19"/>
      <c r="YN5" s="19"/>
      <c r="YR5" s="19"/>
      <c r="YV5" s="19"/>
      <c r="YZ5" s="19"/>
      <c r="ZD5" s="19"/>
      <c r="ZH5" s="19"/>
      <c r="ZL5" s="19"/>
      <c r="ZP5" s="19"/>
      <c r="ZT5" s="19"/>
      <c r="ZX5" s="19"/>
      <c r="AAB5" s="19"/>
      <c r="AAF5" s="19"/>
      <c r="AAJ5" s="19"/>
      <c r="AAN5" s="19"/>
      <c r="AAR5" s="19"/>
      <c r="AAV5" s="19"/>
      <c r="AAZ5" s="19"/>
      <c r="ABD5" s="19"/>
      <c r="ABH5" s="19"/>
      <c r="ABL5" s="19"/>
      <c r="ABP5" s="19"/>
      <c r="ABT5" s="19"/>
      <c r="ABX5" s="19"/>
      <c r="ACB5" s="19"/>
      <c r="ACF5" s="19"/>
      <c r="ACJ5" s="19"/>
      <c r="ACN5" s="19"/>
      <c r="ACR5" s="19"/>
      <c r="ACV5" s="19"/>
      <c r="ACZ5" s="19"/>
      <c r="ADD5" s="19"/>
      <c r="ADH5" s="19"/>
      <c r="ADL5" s="19"/>
      <c r="ADP5" s="19"/>
      <c r="ADT5" s="19"/>
      <c r="ADX5" s="19"/>
      <c r="AEB5" s="19"/>
      <c r="AEF5" s="19"/>
      <c r="AEJ5" s="19"/>
      <c r="AEN5" s="19"/>
      <c r="AER5" s="19"/>
      <c r="AEV5" s="19"/>
      <c r="AEZ5" s="19"/>
      <c r="AFD5" s="19"/>
      <c r="AFH5" s="19"/>
      <c r="AFL5" s="19"/>
      <c r="AFP5" s="19"/>
      <c r="AFT5" s="19"/>
      <c r="AFX5" s="19"/>
      <c r="AGB5" s="19"/>
      <c r="AGF5" s="19"/>
      <c r="AGJ5" s="19"/>
      <c r="AGN5" s="19"/>
      <c r="AGR5" s="19"/>
      <c r="AGV5" s="19"/>
      <c r="AGZ5" s="19"/>
      <c r="AHD5" s="19"/>
      <c r="AHH5" s="19"/>
      <c r="AHL5" s="19"/>
      <c r="AHP5" s="19"/>
      <c r="AHT5" s="19"/>
      <c r="AHX5" s="19"/>
      <c r="AIB5" s="19"/>
      <c r="AIF5" s="19"/>
      <c r="AIJ5" s="19"/>
      <c r="AIN5" s="19"/>
      <c r="AIR5" s="19"/>
      <c r="AIV5" s="19"/>
      <c r="AIZ5" s="19"/>
      <c r="AJD5" s="19"/>
      <c r="AJH5" s="19"/>
      <c r="AJL5" s="19"/>
      <c r="AJP5" s="19"/>
      <c r="AJT5" s="19"/>
      <c r="AJX5" s="19"/>
      <c r="AKB5" s="19"/>
      <c r="AKF5" s="19"/>
      <c r="AKJ5" s="19"/>
      <c r="AKN5" s="19"/>
      <c r="AKR5" s="19"/>
      <c r="AKV5" s="19"/>
      <c r="AKZ5" s="19"/>
      <c r="ALD5" s="19"/>
      <c r="ALH5" s="19"/>
      <c r="ALL5" s="19"/>
      <c r="ALP5" s="19"/>
      <c r="ALT5" s="19"/>
      <c r="ALX5" s="19"/>
      <c r="AMB5" s="19"/>
      <c r="AMF5" s="19"/>
      <c r="AMJ5" s="19"/>
      <c r="AMN5" s="19"/>
      <c r="AMR5" s="19"/>
      <c r="AMV5" s="19"/>
      <c r="AMZ5" s="19"/>
      <c r="AND5" s="19"/>
      <c r="ANH5" s="19"/>
      <c r="ANL5" s="19"/>
      <c r="ANP5" s="19"/>
      <c r="ANT5" s="19"/>
      <c r="ANX5" s="19"/>
      <c r="AOB5" s="19"/>
      <c r="AOF5" s="19"/>
      <c r="AOJ5" s="19"/>
      <c r="AON5" s="19"/>
      <c r="AOR5" s="19"/>
      <c r="AOV5" s="19"/>
      <c r="AOZ5" s="19"/>
      <c r="APD5" s="19"/>
      <c r="APH5" s="19"/>
      <c r="APL5" s="19"/>
      <c r="APP5" s="19"/>
      <c r="APT5" s="19"/>
      <c r="APX5" s="19"/>
      <c r="AQB5" s="19"/>
      <c r="AQF5" s="19"/>
      <c r="AQJ5" s="19"/>
      <c r="AQN5" s="19"/>
      <c r="AQR5" s="19"/>
      <c r="AQV5" s="19"/>
      <c r="AQZ5" s="19"/>
      <c r="ARD5" s="19"/>
      <c r="ARH5" s="19"/>
      <c r="ARL5" s="19"/>
      <c r="ARP5" s="19"/>
      <c r="ART5" s="19"/>
      <c r="ARX5" s="19"/>
      <c r="ASB5" s="19"/>
      <c r="ASF5" s="19"/>
      <c r="ASJ5" s="19"/>
      <c r="ASN5" s="19"/>
      <c r="ASR5" s="19"/>
      <c r="ASV5" s="19"/>
      <c r="ASZ5" s="19"/>
      <c r="ATD5" s="19"/>
      <c r="ATH5" s="19"/>
      <c r="ATL5" s="19"/>
      <c r="ATP5" s="19"/>
      <c r="ATT5" s="19"/>
      <c r="ATX5" s="19"/>
      <c r="AUB5" s="19"/>
      <c r="AUF5" s="19"/>
      <c r="AUJ5" s="19"/>
      <c r="AUN5" s="19"/>
      <c r="AUR5" s="19"/>
      <c r="AUV5" s="19"/>
      <c r="AUZ5" s="19"/>
      <c r="AVD5" s="19"/>
      <c r="AVH5" s="19"/>
      <c r="AVL5" s="19"/>
      <c r="AVP5" s="19"/>
      <c r="AVT5" s="19"/>
      <c r="AVX5" s="19"/>
      <c r="AWB5" s="19"/>
      <c r="AWF5" s="19"/>
      <c r="AWJ5" s="19"/>
      <c r="AWN5" s="19"/>
      <c r="AWR5" s="19"/>
      <c r="AWV5" s="19"/>
      <c r="AWZ5" s="19"/>
      <c r="AXD5" s="19"/>
      <c r="AXH5" s="19"/>
      <c r="AXL5" s="19"/>
      <c r="AXP5" s="19"/>
      <c r="AXT5" s="19"/>
      <c r="AXX5" s="19"/>
      <c r="AYB5" s="19"/>
      <c r="AYF5" s="19"/>
      <c r="AYJ5" s="19"/>
      <c r="AYN5" s="19"/>
      <c r="AYR5" s="19"/>
      <c r="AYV5" s="19"/>
      <c r="AYZ5" s="19"/>
      <c r="AZD5" s="19"/>
      <c r="AZH5" s="19"/>
      <c r="AZL5" s="19"/>
      <c r="AZP5" s="19"/>
      <c r="AZT5" s="19"/>
      <c r="AZX5" s="19"/>
      <c r="BAB5" s="19"/>
      <c r="BAF5" s="19"/>
      <c r="BAJ5" s="19"/>
      <c r="BAN5" s="19"/>
      <c r="BAR5" s="19"/>
      <c r="BAV5" s="19"/>
      <c r="BAZ5" s="19"/>
      <c r="BBD5" s="19"/>
      <c r="BBH5" s="19"/>
      <c r="BBL5" s="19"/>
      <c r="BBP5" s="19"/>
      <c r="BBT5" s="19"/>
      <c r="BBX5" s="19"/>
      <c r="BCB5" s="19"/>
      <c r="BCF5" s="19"/>
      <c r="BCJ5" s="19"/>
      <c r="BCN5" s="19"/>
      <c r="BCR5" s="19"/>
      <c r="BCV5" s="19"/>
      <c r="BCZ5" s="19"/>
      <c r="BDD5" s="19"/>
      <c r="BDH5" s="19"/>
      <c r="BDL5" s="19"/>
      <c r="BDP5" s="19"/>
      <c r="BDT5" s="19"/>
      <c r="BDX5" s="19"/>
      <c r="BEB5" s="19"/>
      <c r="BEF5" s="19"/>
      <c r="BEJ5" s="19"/>
      <c r="BEN5" s="19"/>
      <c r="BER5" s="19"/>
      <c r="BEV5" s="19"/>
      <c r="BEZ5" s="19"/>
      <c r="BFD5" s="19"/>
      <c r="BFH5" s="19"/>
      <c r="BFL5" s="19"/>
      <c r="BFP5" s="19"/>
      <c r="BFT5" s="19"/>
      <c r="BFX5" s="19"/>
      <c r="BGB5" s="19"/>
      <c r="BGF5" s="19"/>
      <c r="BGJ5" s="19"/>
      <c r="BGN5" s="19"/>
      <c r="BGR5" s="19"/>
      <c r="BGV5" s="19"/>
      <c r="BGZ5" s="19"/>
      <c r="BHD5" s="19"/>
      <c r="BHH5" s="19"/>
      <c r="BHL5" s="19"/>
      <c r="BHP5" s="19"/>
      <c r="BHT5" s="19"/>
      <c r="BHX5" s="19"/>
      <c r="BIB5" s="19"/>
      <c r="BIF5" s="19"/>
      <c r="BIJ5" s="19"/>
      <c r="BIN5" s="19"/>
      <c r="BIR5" s="19"/>
      <c r="BIV5" s="19"/>
      <c r="BIZ5" s="19"/>
      <c r="BJD5" s="19"/>
      <c r="BJH5" s="19"/>
      <c r="BJL5" s="19"/>
      <c r="BJP5" s="19"/>
      <c r="BJT5" s="19"/>
      <c r="BJX5" s="19"/>
      <c r="BKB5" s="19"/>
      <c r="BKF5" s="19"/>
      <c r="BKJ5" s="19"/>
      <c r="BKN5" s="19"/>
      <c r="BKR5" s="19"/>
      <c r="BKV5" s="19"/>
      <c r="BKZ5" s="19"/>
      <c r="BLD5" s="19"/>
      <c r="BLH5" s="19"/>
      <c r="BLL5" s="19"/>
      <c r="BLP5" s="19"/>
      <c r="BLT5" s="19"/>
      <c r="BLX5" s="19"/>
      <c r="BMB5" s="19"/>
      <c r="BMF5" s="19"/>
      <c r="BMJ5" s="19"/>
      <c r="BMN5" s="19"/>
      <c r="BMR5" s="19"/>
      <c r="BMV5" s="19"/>
      <c r="BMZ5" s="19"/>
      <c r="BND5" s="19"/>
      <c r="BNH5" s="19"/>
      <c r="BNL5" s="19"/>
      <c r="BNP5" s="19"/>
      <c r="BNT5" s="19"/>
      <c r="BNX5" s="19"/>
      <c r="BOB5" s="19"/>
      <c r="BOF5" s="19"/>
      <c r="BOJ5" s="19"/>
      <c r="BON5" s="19"/>
      <c r="BOR5" s="19"/>
      <c r="BOV5" s="19"/>
      <c r="BOZ5" s="19"/>
      <c r="BPD5" s="19"/>
      <c r="BPH5" s="19"/>
      <c r="BPL5" s="19"/>
      <c r="BPP5" s="19"/>
      <c r="BPT5" s="19"/>
      <c r="BPX5" s="19"/>
      <c r="BQB5" s="19"/>
      <c r="BQF5" s="19"/>
      <c r="BQJ5" s="19"/>
      <c r="BQN5" s="19"/>
      <c r="BQR5" s="19"/>
      <c r="BQV5" s="19"/>
      <c r="BQZ5" s="19"/>
      <c r="BRD5" s="19"/>
      <c r="BRH5" s="19"/>
      <c r="BRL5" s="19"/>
      <c r="BRP5" s="19"/>
      <c r="BRT5" s="19"/>
      <c r="BRX5" s="19"/>
      <c r="BSB5" s="19"/>
      <c r="BSF5" s="19"/>
      <c r="BSJ5" s="19"/>
      <c r="BSN5" s="19"/>
      <c r="BSR5" s="19"/>
      <c r="BSV5" s="19"/>
      <c r="BSZ5" s="19"/>
      <c r="BTD5" s="19"/>
      <c r="BTH5" s="19"/>
      <c r="BTL5" s="19"/>
      <c r="BTP5" s="19"/>
      <c r="BTT5" s="19"/>
      <c r="BTX5" s="19"/>
      <c r="BUB5" s="19"/>
      <c r="BUF5" s="19"/>
      <c r="BUJ5" s="19"/>
      <c r="BUN5" s="19"/>
      <c r="BUR5" s="19"/>
      <c r="BUV5" s="19"/>
      <c r="BUZ5" s="19"/>
      <c r="BVD5" s="19"/>
      <c r="BVH5" s="19"/>
      <c r="BVL5" s="19"/>
      <c r="BVP5" s="19"/>
      <c r="BVT5" s="19"/>
      <c r="BVX5" s="19"/>
      <c r="BWB5" s="19"/>
      <c r="BWF5" s="19"/>
      <c r="BWJ5" s="19"/>
      <c r="BWN5" s="19"/>
      <c r="BWR5" s="19"/>
      <c r="BWV5" s="19"/>
      <c r="BWZ5" s="19"/>
      <c r="BXD5" s="19"/>
      <c r="BXH5" s="19"/>
      <c r="BXL5" s="19"/>
      <c r="BXP5" s="19"/>
      <c r="BXT5" s="19"/>
      <c r="BXX5" s="19"/>
      <c r="BYB5" s="19"/>
      <c r="BYF5" s="19"/>
      <c r="BYJ5" s="19"/>
      <c r="BYN5" s="19"/>
      <c r="BYR5" s="19"/>
      <c r="BYV5" s="19"/>
      <c r="BYZ5" s="19"/>
      <c r="BZD5" s="19"/>
      <c r="BZH5" s="19"/>
      <c r="BZL5" s="19"/>
      <c r="BZP5" s="19"/>
      <c r="BZT5" s="19"/>
      <c r="BZX5" s="19"/>
      <c r="CAB5" s="19"/>
      <c r="CAF5" s="19"/>
      <c r="CAJ5" s="19"/>
      <c r="CAN5" s="19"/>
      <c r="CAR5" s="19"/>
      <c r="CAV5" s="19"/>
      <c r="CAZ5" s="19"/>
      <c r="CBD5" s="19"/>
      <c r="CBH5" s="19"/>
      <c r="CBL5" s="19"/>
      <c r="CBP5" s="19"/>
      <c r="CBT5" s="19"/>
      <c r="CBX5" s="19"/>
      <c r="CCB5" s="19"/>
      <c r="CCF5" s="19"/>
      <c r="CCJ5" s="19"/>
      <c r="CCN5" s="19"/>
      <c r="CCR5" s="19"/>
      <c r="CCV5" s="19"/>
      <c r="CCZ5" s="19"/>
      <c r="CDD5" s="19"/>
      <c r="CDH5" s="19"/>
      <c r="CDL5" s="19"/>
      <c r="CDP5" s="19"/>
      <c r="CDT5" s="19"/>
      <c r="CDX5" s="19"/>
      <c r="CEB5" s="19"/>
      <c r="CEF5" s="19"/>
      <c r="CEJ5" s="19"/>
      <c r="CEN5" s="19"/>
      <c r="CER5" s="19"/>
      <c r="CEV5" s="19"/>
      <c r="CEZ5" s="19"/>
      <c r="CFD5" s="19"/>
      <c r="CFH5" s="19"/>
      <c r="CFL5" s="19"/>
      <c r="CFP5" s="19"/>
      <c r="CFT5" s="19"/>
      <c r="CFX5" s="19"/>
      <c r="CGB5" s="19"/>
      <c r="CGF5" s="19"/>
      <c r="CGJ5" s="19"/>
      <c r="CGN5" s="19"/>
      <c r="CGR5" s="19"/>
      <c r="CGV5" s="19"/>
      <c r="CGZ5" s="19"/>
      <c r="CHD5" s="19"/>
      <c r="CHH5" s="19"/>
      <c r="CHL5" s="19"/>
      <c r="CHP5" s="19"/>
      <c r="CHT5" s="19"/>
      <c r="CHX5" s="19"/>
      <c r="CIB5" s="19"/>
      <c r="CIF5" s="19"/>
      <c r="CIJ5" s="19"/>
      <c r="CIN5" s="19"/>
      <c r="CIR5" s="19"/>
      <c r="CIV5" s="19"/>
      <c r="CIZ5" s="19"/>
      <c r="CJD5" s="19"/>
      <c r="CJH5" s="19"/>
      <c r="CJL5" s="19"/>
      <c r="CJP5" s="19"/>
      <c r="CJT5" s="19"/>
      <c r="CJX5" s="19"/>
      <c r="CKB5" s="19"/>
      <c r="CKF5" s="19"/>
      <c r="CKJ5" s="19"/>
      <c r="CKN5" s="19"/>
      <c r="CKR5" s="19"/>
      <c r="CKV5" s="19"/>
      <c r="CKZ5" s="19"/>
      <c r="CLD5" s="19"/>
      <c r="CLH5" s="19"/>
      <c r="CLL5" s="19"/>
      <c r="CLP5" s="19"/>
      <c r="CLT5" s="19"/>
      <c r="CLX5" s="19"/>
      <c r="CMB5" s="19"/>
      <c r="CMF5" s="19"/>
      <c r="CMJ5" s="19"/>
      <c r="CMN5" s="19"/>
      <c r="CMR5" s="19"/>
      <c r="CMV5" s="19"/>
      <c r="CMZ5" s="19"/>
      <c r="CND5" s="19"/>
      <c r="CNH5" s="19"/>
      <c r="CNL5" s="19"/>
      <c r="CNP5" s="19"/>
      <c r="CNT5" s="19"/>
      <c r="CNX5" s="19"/>
      <c r="COB5" s="19"/>
      <c r="COF5" s="19"/>
      <c r="COJ5" s="19"/>
      <c r="CON5" s="19"/>
      <c r="COR5" s="19"/>
      <c r="COV5" s="19"/>
      <c r="COZ5" s="19"/>
      <c r="CPD5" s="19"/>
      <c r="CPH5" s="19"/>
      <c r="CPL5" s="19"/>
      <c r="CPP5" s="19"/>
      <c r="CPT5" s="19"/>
      <c r="CPX5" s="19"/>
      <c r="CQB5" s="19"/>
      <c r="CQF5" s="19"/>
      <c r="CQJ5" s="19"/>
      <c r="CQN5" s="19"/>
      <c r="CQR5" s="19"/>
      <c r="CQV5" s="19"/>
      <c r="CQZ5" s="19"/>
      <c r="CRD5" s="19"/>
      <c r="CRH5" s="19"/>
      <c r="CRL5" s="19"/>
      <c r="CRP5" s="19"/>
      <c r="CRT5" s="19"/>
      <c r="CRX5" s="19"/>
      <c r="CSB5" s="19"/>
      <c r="CSF5" s="19"/>
      <c r="CSJ5" s="19"/>
      <c r="CSN5" s="19"/>
      <c r="CSR5" s="19"/>
      <c r="CSV5" s="19"/>
      <c r="CSZ5" s="19"/>
      <c r="CTD5" s="19"/>
      <c r="CTH5" s="19"/>
      <c r="CTL5" s="19"/>
      <c r="CTP5" s="19"/>
      <c r="CTT5" s="19"/>
      <c r="CTX5" s="19"/>
      <c r="CUB5" s="19"/>
      <c r="CUF5" s="19"/>
      <c r="CUJ5" s="19"/>
      <c r="CUN5" s="19"/>
      <c r="CUR5" s="19"/>
      <c r="CUV5" s="19"/>
      <c r="CUZ5" s="19"/>
      <c r="CVD5" s="19"/>
      <c r="CVH5" s="19"/>
      <c r="CVL5" s="19"/>
      <c r="CVP5" s="19"/>
      <c r="CVT5" s="19"/>
      <c r="CVX5" s="19"/>
      <c r="CWB5" s="19"/>
      <c r="CWF5" s="19"/>
      <c r="CWJ5" s="19"/>
      <c r="CWN5" s="19"/>
      <c r="CWR5" s="19"/>
      <c r="CWV5" s="19"/>
      <c r="CWZ5" s="19"/>
      <c r="CXD5" s="19"/>
      <c r="CXH5" s="19"/>
      <c r="CXL5" s="19"/>
      <c r="CXP5" s="19"/>
      <c r="CXT5" s="19"/>
      <c r="CXX5" s="19"/>
      <c r="CYB5" s="19"/>
      <c r="CYF5" s="19"/>
      <c r="CYJ5" s="19"/>
      <c r="CYN5" s="19"/>
      <c r="CYR5" s="19"/>
      <c r="CYV5" s="19"/>
      <c r="CYZ5" s="19"/>
      <c r="CZD5" s="19"/>
      <c r="CZH5" s="19"/>
      <c r="CZL5" s="19"/>
      <c r="CZP5" s="19"/>
      <c r="CZT5" s="19"/>
      <c r="CZX5" s="19"/>
      <c r="DAB5" s="19"/>
      <c r="DAF5" s="19"/>
      <c r="DAJ5" s="19"/>
      <c r="DAN5" s="19"/>
      <c r="DAR5" s="19"/>
      <c r="DAV5" s="19"/>
      <c r="DAZ5" s="19"/>
      <c r="DBD5" s="19"/>
      <c r="DBH5" s="19"/>
      <c r="DBL5" s="19"/>
      <c r="DBP5" s="19"/>
      <c r="DBT5" s="19"/>
      <c r="DBX5" s="19"/>
      <c r="DCB5" s="19"/>
      <c r="DCF5" s="19"/>
      <c r="DCJ5" s="19"/>
      <c r="DCN5" s="19"/>
      <c r="DCR5" s="19"/>
      <c r="DCV5" s="19"/>
      <c r="DCZ5" s="19"/>
      <c r="DDD5" s="19"/>
      <c r="DDH5" s="19"/>
      <c r="DDL5" s="19"/>
      <c r="DDP5" s="19"/>
      <c r="DDT5" s="19"/>
      <c r="DDX5" s="19"/>
      <c r="DEB5" s="19"/>
      <c r="DEF5" s="19"/>
      <c r="DEJ5" s="19"/>
      <c r="DEN5" s="19"/>
      <c r="DER5" s="19"/>
      <c r="DEV5" s="19"/>
      <c r="DEZ5" s="19"/>
      <c r="DFD5" s="19"/>
      <c r="DFH5" s="19"/>
      <c r="DFL5" s="19"/>
      <c r="DFP5" s="19"/>
      <c r="DFT5" s="19"/>
      <c r="DFX5" s="19"/>
      <c r="DGB5" s="19"/>
      <c r="DGF5" s="19"/>
      <c r="DGJ5" s="19"/>
      <c r="DGN5" s="19"/>
      <c r="DGR5" s="19"/>
      <c r="DGV5" s="19"/>
      <c r="DGZ5" s="19"/>
      <c r="DHD5" s="19"/>
      <c r="DHH5" s="19"/>
      <c r="DHL5" s="19"/>
      <c r="DHP5" s="19"/>
      <c r="DHT5" s="19"/>
      <c r="DHX5" s="19"/>
      <c r="DIB5" s="19"/>
      <c r="DIF5" s="19"/>
      <c r="DIJ5" s="19"/>
      <c r="DIN5" s="19"/>
      <c r="DIR5" s="19"/>
      <c r="DIV5" s="19"/>
      <c r="DIZ5" s="19"/>
      <c r="DJD5" s="19"/>
      <c r="DJH5" s="19"/>
      <c r="DJL5" s="19"/>
      <c r="DJP5" s="19"/>
      <c r="DJT5" s="19"/>
      <c r="DJX5" s="19"/>
      <c r="DKB5" s="19"/>
      <c r="DKF5" s="19"/>
      <c r="DKJ5" s="19"/>
      <c r="DKN5" s="19"/>
      <c r="DKR5" s="19"/>
      <c r="DKV5" s="19"/>
      <c r="DKZ5" s="19"/>
      <c r="DLD5" s="19"/>
      <c r="DLH5" s="19"/>
      <c r="DLL5" s="19"/>
      <c r="DLP5" s="19"/>
      <c r="DLT5" s="19"/>
      <c r="DLX5" s="19"/>
      <c r="DMB5" s="19"/>
      <c r="DMF5" s="19"/>
      <c r="DMJ5" s="19"/>
      <c r="DMN5" s="19"/>
      <c r="DMR5" s="19"/>
      <c r="DMV5" s="19"/>
      <c r="DMZ5" s="19"/>
      <c r="DND5" s="19"/>
      <c r="DNH5" s="19"/>
      <c r="DNL5" s="19"/>
      <c r="DNP5" s="19"/>
      <c r="DNT5" s="19"/>
      <c r="DNX5" s="19"/>
      <c r="DOB5" s="19"/>
      <c r="DOF5" s="19"/>
      <c r="DOJ5" s="19"/>
      <c r="DON5" s="19"/>
      <c r="DOR5" s="19"/>
      <c r="DOV5" s="19"/>
      <c r="DOZ5" s="19"/>
      <c r="DPD5" s="19"/>
      <c r="DPH5" s="19"/>
      <c r="DPL5" s="19"/>
      <c r="DPP5" s="19"/>
      <c r="DPT5" s="19"/>
      <c r="DPX5" s="19"/>
      <c r="DQB5" s="19"/>
      <c r="DQF5" s="19"/>
      <c r="DQJ5" s="19"/>
      <c r="DQN5" s="19"/>
      <c r="DQR5" s="19"/>
      <c r="DQV5" s="19"/>
      <c r="DQZ5" s="19"/>
      <c r="DRD5" s="19"/>
      <c r="DRH5" s="19"/>
      <c r="DRL5" s="19"/>
      <c r="DRP5" s="19"/>
      <c r="DRT5" s="19"/>
      <c r="DRX5" s="19"/>
      <c r="DSB5" s="19"/>
      <c r="DSF5" s="19"/>
      <c r="DSJ5" s="19"/>
      <c r="DSN5" s="19"/>
      <c r="DSR5" s="19"/>
      <c r="DSV5" s="19"/>
      <c r="DSZ5" s="19"/>
      <c r="DTD5" s="19"/>
      <c r="DTH5" s="19"/>
      <c r="DTL5" s="19"/>
      <c r="DTP5" s="19"/>
      <c r="DTT5" s="19"/>
      <c r="DTX5" s="19"/>
      <c r="DUB5" s="19"/>
      <c r="DUF5" s="19"/>
      <c r="DUJ5" s="19"/>
      <c r="DUN5" s="19"/>
      <c r="DUR5" s="19"/>
      <c r="DUV5" s="19"/>
      <c r="DUZ5" s="19"/>
      <c r="DVD5" s="19"/>
      <c r="DVH5" s="19"/>
      <c r="DVL5" s="19"/>
      <c r="DVP5" s="19"/>
      <c r="DVT5" s="19"/>
      <c r="DVX5" s="19"/>
      <c r="DWB5" s="19"/>
      <c r="DWF5" s="19"/>
      <c r="DWJ5" s="19"/>
      <c r="DWN5" s="19"/>
      <c r="DWR5" s="19"/>
      <c r="DWV5" s="19"/>
      <c r="DWZ5" s="19"/>
      <c r="DXD5" s="19"/>
      <c r="DXH5" s="19"/>
      <c r="DXL5" s="19"/>
      <c r="DXP5" s="19"/>
      <c r="DXT5" s="19"/>
      <c r="DXX5" s="19"/>
      <c r="DYB5" s="19"/>
      <c r="DYF5" s="19"/>
      <c r="DYJ5" s="19"/>
      <c r="DYN5" s="19"/>
      <c r="DYR5" s="19"/>
      <c r="DYV5" s="19"/>
      <c r="DYZ5" s="19"/>
      <c r="DZD5" s="19"/>
      <c r="DZH5" s="19"/>
      <c r="DZL5" s="19"/>
      <c r="DZP5" s="19"/>
      <c r="DZT5" s="19"/>
      <c r="DZX5" s="19"/>
      <c r="EAB5" s="19"/>
      <c r="EAF5" s="19"/>
      <c r="EAJ5" s="19"/>
      <c r="EAN5" s="19"/>
      <c r="EAR5" s="19"/>
      <c r="EAV5" s="19"/>
      <c r="EAZ5" s="19"/>
      <c r="EBD5" s="19"/>
      <c r="EBH5" s="19"/>
      <c r="EBL5" s="19"/>
      <c r="EBP5" s="19"/>
      <c r="EBT5" s="19"/>
      <c r="EBX5" s="19"/>
      <c r="ECB5" s="19"/>
      <c r="ECF5" s="19"/>
      <c r="ECJ5" s="19"/>
      <c r="ECN5" s="19"/>
      <c r="ECR5" s="19"/>
      <c r="ECV5" s="19"/>
      <c r="ECZ5" s="19"/>
      <c r="EDD5" s="19"/>
      <c r="EDH5" s="19"/>
      <c r="EDL5" s="19"/>
      <c r="EDP5" s="19"/>
      <c r="EDT5" s="19"/>
      <c r="EDX5" s="19"/>
      <c r="EEB5" s="19"/>
      <c r="EEF5" s="19"/>
      <c r="EEJ5" s="19"/>
      <c r="EEN5" s="19"/>
      <c r="EER5" s="19"/>
      <c r="EEV5" s="19"/>
      <c r="EEZ5" s="19"/>
      <c r="EFD5" s="19"/>
      <c r="EFH5" s="19"/>
      <c r="EFL5" s="19"/>
      <c r="EFP5" s="19"/>
      <c r="EFT5" s="19"/>
      <c r="EFX5" s="19"/>
      <c r="EGB5" s="19"/>
      <c r="EGF5" s="19"/>
      <c r="EGJ5" s="19"/>
      <c r="EGN5" s="19"/>
      <c r="EGR5" s="19"/>
      <c r="EGV5" s="19"/>
      <c r="EGZ5" s="19"/>
      <c r="EHD5" s="19"/>
      <c r="EHH5" s="19"/>
      <c r="EHL5" s="19"/>
      <c r="EHP5" s="19"/>
      <c r="EHT5" s="19"/>
      <c r="EHX5" s="19"/>
      <c r="EIB5" s="19"/>
      <c r="EIF5" s="19"/>
      <c r="EIJ5" s="19"/>
      <c r="EIN5" s="19"/>
      <c r="EIR5" s="19"/>
      <c r="EIV5" s="19"/>
      <c r="EIZ5" s="19"/>
      <c r="EJD5" s="19"/>
      <c r="EJH5" s="19"/>
      <c r="EJL5" s="19"/>
      <c r="EJP5" s="19"/>
      <c r="EJT5" s="19"/>
      <c r="EJX5" s="19"/>
      <c r="EKB5" s="19"/>
      <c r="EKF5" s="19"/>
      <c r="EKJ5" s="19"/>
      <c r="EKN5" s="19"/>
      <c r="EKR5" s="19"/>
      <c r="EKV5" s="19"/>
      <c r="EKZ5" s="19"/>
      <c r="ELD5" s="19"/>
      <c r="ELH5" s="19"/>
      <c r="ELL5" s="19"/>
      <c r="ELP5" s="19"/>
      <c r="ELT5" s="19"/>
      <c r="ELX5" s="19"/>
      <c r="EMB5" s="19"/>
      <c r="EMF5" s="19"/>
      <c r="EMJ5" s="19"/>
      <c r="EMN5" s="19"/>
      <c r="EMR5" s="19"/>
      <c r="EMV5" s="19"/>
      <c r="EMZ5" s="19"/>
      <c r="END5" s="19"/>
      <c r="ENH5" s="19"/>
      <c r="ENL5" s="19"/>
      <c r="ENP5" s="19"/>
      <c r="ENT5" s="19"/>
      <c r="ENX5" s="19"/>
      <c r="EOB5" s="19"/>
      <c r="EOF5" s="19"/>
      <c r="EOJ5" s="19"/>
      <c r="EON5" s="19"/>
      <c r="EOR5" s="19"/>
      <c r="EOV5" s="19"/>
      <c r="EOZ5" s="19"/>
      <c r="EPD5" s="19"/>
      <c r="EPH5" s="19"/>
      <c r="EPL5" s="19"/>
      <c r="EPP5" s="19"/>
      <c r="EPT5" s="19"/>
      <c r="EPX5" s="19"/>
      <c r="EQB5" s="19"/>
      <c r="EQF5" s="19"/>
      <c r="EQJ5" s="19"/>
      <c r="EQN5" s="19"/>
      <c r="EQR5" s="19"/>
      <c r="EQV5" s="19"/>
      <c r="EQZ5" s="19"/>
      <c r="ERD5" s="19"/>
      <c r="ERH5" s="19"/>
      <c r="ERL5" s="19"/>
      <c r="ERP5" s="19"/>
      <c r="ERT5" s="19"/>
      <c r="ERX5" s="19"/>
      <c r="ESB5" s="19"/>
      <c r="ESF5" s="19"/>
      <c r="ESJ5" s="19"/>
      <c r="ESN5" s="19"/>
      <c r="ESR5" s="19"/>
      <c r="ESV5" s="19"/>
      <c r="ESZ5" s="19"/>
      <c r="ETD5" s="19"/>
      <c r="ETH5" s="19"/>
      <c r="ETL5" s="19"/>
      <c r="ETP5" s="19"/>
      <c r="ETT5" s="19"/>
      <c r="ETX5" s="19"/>
      <c r="EUB5" s="19"/>
      <c r="EUF5" s="19"/>
      <c r="EUJ5" s="19"/>
      <c r="EUN5" s="19"/>
      <c r="EUR5" s="19"/>
      <c r="EUV5" s="19"/>
      <c r="EUZ5" s="19"/>
      <c r="EVD5" s="19"/>
      <c r="EVH5" s="19"/>
      <c r="EVL5" s="19"/>
      <c r="EVP5" s="19"/>
      <c r="EVT5" s="19"/>
      <c r="EVX5" s="19"/>
      <c r="EWB5" s="19"/>
      <c r="EWF5" s="19"/>
      <c r="EWJ5" s="19"/>
      <c r="EWN5" s="19"/>
      <c r="EWR5" s="19"/>
      <c r="EWV5" s="19"/>
      <c r="EWZ5" s="19"/>
      <c r="EXD5" s="19"/>
      <c r="EXH5" s="19"/>
      <c r="EXL5" s="19"/>
      <c r="EXP5" s="19"/>
      <c r="EXT5" s="19"/>
      <c r="EXX5" s="19"/>
      <c r="EYB5" s="19"/>
      <c r="EYF5" s="19"/>
      <c r="EYJ5" s="19"/>
      <c r="EYN5" s="19"/>
      <c r="EYR5" s="19"/>
      <c r="EYV5" s="19"/>
      <c r="EYZ5" s="19"/>
      <c r="EZD5" s="19"/>
      <c r="EZH5" s="19"/>
      <c r="EZL5" s="19"/>
      <c r="EZP5" s="19"/>
      <c r="EZT5" s="19"/>
      <c r="EZX5" s="19"/>
      <c r="FAB5" s="19"/>
      <c r="FAF5" s="19"/>
      <c r="FAJ5" s="19"/>
      <c r="FAN5" s="19"/>
      <c r="FAR5" s="19"/>
      <c r="FAV5" s="19"/>
      <c r="FAZ5" s="19"/>
      <c r="FBD5" s="19"/>
      <c r="FBH5" s="19"/>
      <c r="FBL5" s="19"/>
      <c r="FBP5" s="19"/>
      <c r="FBT5" s="19"/>
      <c r="FBX5" s="19"/>
      <c r="FCB5" s="19"/>
      <c r="FCF5" s="19"/>
      <c r="FCJ5" s="19"/>
      <c r="FCN5" s="19"/>
      <c r="FCR5" s="19"/>
      <c r="FCV5" s="19"/>
      <c r="FCZ5" s="19"/>
      <c r="FDD5" s="19"/>
      <c r="FDH5" s="19"/>
      <c r="FDL5" s="19"/>
      <c r="FDP5" s="19"/>
      <c r="FDT5" s="19"/>
      <c r="FDX5" s="19"/>
      <c r="FEB5" s="19"/>
      <c r="FEF5" s="19"/>
      <c r="FEJ5" s="19"/>
      <c r="FEN5" s="19"/>
      <c r="FER5" s="19"/>
      <c r="FEV5" s="19"/>
      <c r="FEZ5" s="19"/>
      <c r="FFD5" s="19"/>
      <c r="FFH5" s="19"/>
      <c r="FFL5" s="19"/>
      <c r="FFP5" s="19"/>
      <c r="FFT5" s="19"/>
      <c r="FFX5" s="19"/>
      <c r="FGB5" s="19"/>
      <c r="FGF5" s="19"/>
      <c r="FGJ5" s="19"/>
      <c r="FGN5" s="19"/>
      <c r="FGR5" s="19"/>
      <c r="FGV5" s="19"/>
      <c r="FGZ5" s="19"/>
      <c r="FHD5" s="19"/>
      <c r="FHH5" s="19"/>
      <c r="FHL5" s="19"/>
      <c r="FHP5" s="19"/>
      <c r="FHT5" s="19"/>
      <c r="FHX5" s="19"/>
      <c r="FIB5" s="19"/>
      <c r="FIF5" s="19"/>
      <c r="FIJ5" s="19"/>
      <c r="FIN5" s="19"/>
      <c r="FIR5" s="19"/>
      <c r="FIV5" s="19"/>
      <c r="FIZ5" s="19"/>
      <c r="FJD5" s="19"/>
      <c r="FJH5" s="19"/>
      <c r="FJL5" s="19"/>
      <c r="FJP5" s="19"/>
      <c r="FJT5" s="19"/>
      <c r="FJX5" s="19"/>
      <c r="FKB5" s="19"/>
      <c r="FKF5" s="19"/>
      <c r="FKJ5" s="19"/>
      <c r="FKN5" s="19"/>
      <c r="FKR5" s="19"/>
      <c r="FKV5" s="19"/>
      <c r="FKZ5" s="19"/>
      <c r="FLD5" s="19"/>
      <c r="FLH5" s="19"/>
      <c r="FLL5" s="19"/>
      <c r="FLP5" s="19"/>
      <c r="FLT5" s="19"/>
      <c r="FLX5" s="19"/>
      <c r="FMB5" s="19"/>
      <c r="FMF5" s="19"/>
      <c r="FMJ5" s="19"/>
      <c r="FMN5" s="19"/>
      <c r="FMR5" s="19"/>
      <c r="FMV5" s="19"/>
      <c r="FMZ5" s="19"/>
      <c r="FND5" s="19"/>
      <c r="FNH5" s="19"/>
      <c r="FNL5" s="19"/>
      <c r="FNP5" s="19"/>
      <c r="FNT5" s="19"/>
      <c r="FNX5" s="19"/>
      <c r="FOB5" s="19"/>
      <c r="FOF5" s="19"/>
      <c r="FOJ5" s="19"/>
      <c r="FON5" s="19"/>
      <c r="FOR5" s="19"/>
      <c r="FOV5" s="19"/>
      <c r="FOZ5" s="19"/>
      <c r="FPD5" s="19"/>
      <c r="FPH5" s="19"/>
      <c r="FPL5" s="19"/>
      <c r="FPP5" s="19"/>
      <c r="FPT5" s="19"/>
      <c r="FPX5" s="19"/>
      <c r="FQB5" s="19"/>
      <c r="FQF5" s="19"/>
      <c r="FQJ5" s="19"/>
      <c r="FQN5" s="19"/>
      <c r="FQR5" s="19"/>
      <c r="FQV5" s="19"/>
      <c r="FQZ5" s="19"/>
      <c r="FRD5" s="19"/>
      <c r="FRH5" s="19"/>
      <c r="FRL5" s="19"/>
      <c r="FRP5" s="19"/>
      <c r="FRT5" s="19"/>
      <c r="FRX5" s="19"/>
      <c r="FSB5" s="19"/>
      <c r="FSF5" s="19"/>
      <c r="FSJ5" s="19"/>
      <c r="FSN5" s="19"/>
      <c r="FSR5" s="19"/>
      <c r="FSV5" s="19"/>
      <c r="FSZ5" s="19"/>
      <c r="FTD5" s="19"/>
      <c r="FTH5" s="19"/>
      <c r="FTL5" s="19"/>
      <c r="FTP5" s="19"/>
      <c r="FTT5" s="19"/>
      <c r="FTX5" s="19"/>
      <c r="FUB5" s="19"/>
      <c r="FUF5" s="19"/>
      <c r="FUJ5" s="19"/>
      <c r="FUN5" s="19"/>
      <c r="FUR5" s="19"/>
      <c r="FUV5" s="19"/>
      <c r="FUZ5" s="19"/>
      <c r="FVD5" s="19"/>
      <c r="FVH5" s="19"/>
      <c r="FVL5" s="19"/>
      <c r="FVP5" s="19"/>
      <c r="FVT5" s="19"/>
      <c r="FVX5" s="19"/>
      <c r="FWB5" s="19"/>
      <c r="FWF5" s="19"/>
      <c r="FWJ5" s="19"/>
      <c r="FWN5" s="19"/>
      <c r="FWR5" s="19"/>
      <c r="FWV5" s="19"/>
      <c r="FWZ5" s="19"/>
      <c r="FXD5" s="19"/>
      <c r="FXH5" s="19"/>
      <c r="FXL5" s="19"/>
      <c r="FXP5" s="19"/>
      <c r="FXT5" s="19"/>
      <c r="FXX5" s="19"/>
      <c r="FYB5" s="19"/>
      <c r="FYF5" s="19"/>
      <c r="FYJ5" s="19"/>
      <c r="FYN5" s="19"/>
      <c r="FYR5" s="19"/>
      <c r="FYV5" s="19"/>
      <c r="FYZ5" s="19"/>
      <c r="FZD5" s="19"/>
      <c r="FZH5" s="19"/>
      <c r="FZL5" s="19"/>
      <c r="FZP5" s="19"/>
      <c r="FZT5" s="19"/>
      <c r="FZX5" s="19"/>
      <c r="GAB5" s="19"/>
      <c r="GAF5" s="19"/>
      <c r="GAJ5" s="19"/>
      <c r="GAN5" s="19"/>
      <c r="GAR5" s="19"/>
      <c r="GAV5" s="19"/>
      <c r="GAZ5" s="19"/>
      <c r="GBD5" s="19"/>
      <c r="GBH5" s="19"/>
      <c r="GBL5" s="19"/>
      <c r="GBP5" s="19"/>
      <c r="GBT5" s="19"/>
      <c r="GBX5" s="19"/>
      <c r="GCB5" s="19"/>
      <c r="GCF5" s="19"/>
      <c r="GCJ5" s="19"/>
      <c r="GCN5" s="19"/>
      <c r="GCR5" s="19"/>
      <c r="GCV5" s="19"/>
      <c r="GCZ5" s="19"/>
      <c r="GDD5" s="19"/>
      <c r="GDH5" s="19"/>
      <c r="GDL5" s="19"/>
      <c r="GDP5" s="19"/>
      <c r="GDT5" s="19"/>
      <c r="GDX5" s="19"/>
      <c r="GEB5" s="19"/>
      <c r="GEF5" s="19"/>
      <c r="GEJ5" s="19"/>
      <c r="GEN5" s="19"/>
      <c r="GER5" s="19"/>
      <c r="GEV5" s="19"/>
      <c r="GEZ5" s="19"/>
      <c r="GFD5" s="19"/>
      <c r="GFH5" s="19"/>
      <c r="GFL5" s="19"/>
      <c r="GFP5" s="19"/>
      <c r="GFT5" s="19"/>
      <c r="GFX5" s="19"/>
      <c r="GGB5" s="19"/>
      <c r="GGF5" s="19"/>
      <c r="GGJ5" s="19"/>
      <c r="GGN5" s="19"/>
      <c r="GGR5" s="19"/>
      <c r="GGV5" s="19"/>
      <c r="GGZ5" s="19"/>
      <c r="GHD5" s="19"/>
      <c r="GHH5" s="19"/>
      <c r="GHL5" s="19"/>
      <c r="GHP5" s="19"/>
      <c r="GHT5" s="19"/>
      <c r="GHX5" s="19"/>
      <c r="GIB5" s="19"/>
      <c r="GIF5" s="19"/>
      <c r="GIJ5" s="19"/>
      <c r="GIN5" s="19"/>
      <c r="GIR5" s="19"/>
      <c r="GIV5" s="19"/>
      <c r="GIZ5" s="19"/>
      <c r="GJD5" s="19"/>
      <c r="GJH5" s="19"/>
      <c r="GJL5" s="19"/>
      <c r="GJP5" s="19"/>
      <c r="GJT5" s="19"/>
      <c r="GJX5" s="19"/>
      <c r="GKB5" s="19"/>
      <c r="GKF5" s="19"/>
      <c r="GKJ5" s="19"/>
      <c r="GKN5" s="19"/>
      <c r="GKR5" s="19"/>
      <c r="GKV5" s="19"/>
      <c r="GKZ5" s="19"/>
      <c r="GLD5" s="19"/>
      <c r="GLH5" s="19"/>
      <c r="GLL5" s="19"/>
      <c r="GLP5" s="19"/>
      <c r="GLT5" s="19"/>
      <c r="GLX5" s="19"/>
      <c r="GMB5" s="19"/>
      <c r="GMF5" s="19"/>
      <c r="GMJ5" s="19"/>
      <c r="GMN5" s="19"/>
      <c r="GMR5" s="19"/>
      <c r="GMV5" s="19"/>
      <c r="GMZ5" s="19"/>
      <c r="GND5" s="19"/>
      <c r="GNH5" s="19"/>
      <c r="GNL5" s="19"/>
      <c r="GNP5" s="19"/>
      <c r="GNT5" s="19"/>
      <c r="GNX5" s="19"/>
      <c r="GOB5" s="19"/>
      <c r="GOF5" s="19"/>
      <c r="GOJ5" s="19"/>
      <c r="GON5" s="19"/>
      <c r="GOR5" s="19"/>
      <c r="GOV5" s="19"/>
      <c r="GOZ5" s="19"/>
      <c r="GPD5" s="19"/>
      <c r="GPH5" s="19"/>
      <c r="GPL5" s="19"/>
      <c r="GPP5" s="19"/>
      <c r="GPT5" s="19"/>
      <c r="GPX5" s="19"/>
      <c r="GQB5" s="19"/>
      <c r="GQF5" s="19"/>
      <c r="GQJ5" s="19"/>
      <c r="GQN5" s="19"/>
      <c r="GQR5" s="19"/>
      <c r="GQV5" s="19"/>
      <c r="GQZ5" s="19"/>
      <c r="GRD5" s="19"/>
      <c r="GRH5" s="19"/>
      <c r="GRL5" s="19"/>
      <c r="GRP5" s="19"/>
      <c r="GRT5" s="19"/>
      <c r="GRX5" s="19"/>
      <c r="GSB5" s="19"/>
      <c r="GSF5" s="19"/>
      <c r="GSJ5" s="19"/>
      <c r="GSN5" s="19"/>
      <c r="GSR5" s="19"/>
      <c r="GSV5" s="19"/>
      <c r="GSZ5" s="19"/>
      <c r="GTD5" s="19"/>
      <c r="GTH5" s="19"/>
      <c r="GTL5" s="19"/>
      <c r="GTP5" s="19"/>
      <c r="GTT5" s="19"/>
      <c r="GTX5" s="19"/>
      <c r="GUB5" s="19"/>
      <c r="GUF5" s="19"/>
      <c r="GUJ5" s="19"/>
      <c r="GUN5" s="19"/>
      <c r="GUR5" s="19"/>
      <c r="GUV5" s="19"/>
      <c r="GUZ5" s="19"/>
      <c r="GVD5" s="19"/>
      <c r="GVH5" s="19"/>
      <c r="GVL5" s="19"/>
      <c r="GVP5" s="19"/>
      <c r="GVT5" s="19"/>
      <c r="GVX5" s="19"/>
      <c r="GWB5" s="19"/>
      <c r="GWF5" s="19"/>
      <c r="GWJ5" s="19"/>
      <c r="GWN5" s="19"/>
      <c r="GWR5" s="19"/>
      <c r="GWV5" s="19"/>
      <c r="GWZ5" s="19"/>
      <c r="GXD5" s="19"/>
      <c r="GXH5" s="19"/>
      <c r="GXL5" s="19"/>
      <c r="GXP5" s="19"/>
      <c r="GXT5" s="19"/>
      <c r="GXX5" s="19"/>
      <c r="GYB5" s="19"/>
      <c r="GYF5" s="19"/>
      <c r="GYJ5" s="19"/>
      <c r="GYN5" s="19"/>
      <c r="GYR5" s="19"/>
      <c r="GYV5" s="19"/>
      <c r="GYZ5" s="19"/>
      <c r="GZD5" s="19"/>
      <c r="GZH5" s="19"/>
      <c r="GZL5" s="19"/>
      <c r="GZP5" s="19"/>
      <c r="GZT5" s="19"/>
      <c r="GZX5" s="19"/>
      <c r="HAB5" s="19"/>
      <c r="HAF5" s="19"/>
      <c r="HAJ5" s="19"/>
      <c r="HAN5" s="19"/>
      <c r="HAR5" s="19"/>
      <c r="HAV5" s="19"/>
      <c r="HAZ5" s="19"/>
      <c r="HBD5" s="19"/>
      <c r="HBH5" s="19"/>
      <c r="HBL5" s="19"/>
      <c r="HBP5" s="19"/>
      <c r="HBT5" s="19"/>
      <c r="HBX5" s="19"/>
      <c r="HCB5" s="19"/>
      <c r="HCF5" s="19"/>
      <c r="HCJ5" s="19"/>
      <c r="HCN5" s="19"/>
      <c r="HCR5" s="19"/>
      <c r="HCV5" s="19"/>
      <c r="HCZ5" s="19"/>
      <c r="HDD5" s="19"/>
      <c r="HDH5" s="19"/>
      <c r="HDL5" s="19"/>
      <c r="HDP5" s="19"/>
      <c r="HDT5" s="19"/>
      <c r="HDX5" s="19"/>
      <c r="HEB5" s="19"/>
      <c r="HEF5" s="19"/>
      <c r="HEJ5" s="19"/>
      <c r="HEN5" s="19"/>
      <c r="HER5" s="19"/>
      <c r="HEV5" s="19"/>
      <c r="HEZ5" s="19"/>
      <c r="HFD5" s="19"/>
      <c r="HFH5" s="19"/>
      <c r="HFL5" s="19"/>
      <c r="HFP5" s="19"/>
      <c r="HFT5" s="19"/>
      <c r="HFX5" s="19"/>
      <c r="HGB5" s="19"/>
      <c r="HGF5" s="19"/>
      <c r="HGJ5" s="19"/>
      <c r="HGN5" s="19"/>
      <c r="HGR5" s="19"/>
      <c r="HGV5" s="19"/>
      <c r="HGZ5" s="19"/>
      <c r="HHD5" s="19"/>
      <c r="HHH5" s="19"/>
      <c r="HHL5" s="19"/>
      <c r="HHP5" s="19"/>
      <c r="HHT5" s="19"/>
      <c r="HHX5" s="19"/>
      <c r="HIB5" s="19"/>
      <c r="HIF5" s="19"/>
      <c r="HIJ5" s="19"/>
      <c r="HIN5" s="19"/>
      <c r="HIR5" s="19"/>
      <c r="HIV5" s="19"/>
      <c r="HIZ5" s="19"/>
      <c r="HJD5" s="19"/>
      <c r="HJH5" s="19"/>
      <c r="HJL5" s="19"/>
      <c r="HJP5" s="19"/>
      <c r="HJT5" s="19"/>
      <c r="HJX5" s="19"/>
      <c r="HKB5" s="19"/>
      <c r="HKF5" s="19"/>
      <c r="HKJ5" s="19"/>
      <c r="HKN5" s="19"/>
      <c r="HKR5" s="19"/>
      <c r="HKV5" s="19"/>
      <c r="HKZ5" s="19"/>
      <c r="HLD5" s="19"/>
      <c r="HLH5" s="19"/>
      <c r="HLL5" s="19"/>
      <c r="HLP5" s="19"/>
      <c r="HLT5" s="19"/>
      <c r="HLX5" s="19"/>
      <c r="HMB5" s="19"/>
      <c r="HMF5" s="19"/>
      <c r="HMJ5" s="19"/>
      <c r="HMN5" s="19"/>
      <c r="HMR5" s="19"/>
      <c r="HMV5" s="19"/>
      <c r="HMZ5" s="19"/>
      <c r="HND5" s="19"/>
      <c r="HNH5" s="19"/>
      <c r="HNL5" s="19"/>
      <c r="HNP5" s="19"/>
      <c r="HNT5" s="19"/>
      <c r="HNX5" s="19"/>
      <c r="HOB5" s="19"/>
      <c r="HOF5" s="19"/>
      <c r="HOJ5" s="19"/>
      <c r="HON5" s="19"/>
      <c r="HOR5" s="19"/>
      <c r="HOV5" s="19"/>
      <c r="HOZ5" s="19"/>
      <c r="HPD5" s="19"/>
      <c r="HPH5" s="19"/>
      <c r="HPL5" s="19"/>
      <c r="HPP5" s="19"/>
      <c r="HPT5" s="19"/>
      <c r="HPX5" s="19"/>
      <c r="HQB5" s="19"/>
      <c r="HQF5" s="19"/>
      <c r="HQJ5" s="19"/>
      <c r="HQN5" s="19"/>
      <c r="HQR5" s="19"/>
      <c r="HQV5" s="19"/>
      <c r="HQZ5" s="19"/>
      <c r="HRD5" s="19"/>
      <c r="HRH5" s="19"/>
      <c r="HRL5" s="19"/>
      <c r="HRP5" s="19"/>
      <c r="HRT5" s="19"/>
      <c r="HRX5" s="19"/>
      <c r="HSB5" s="19"/>
      <c r="HSF5" s="19"/>
      <c r="HSJ5" s="19"/>
      <c r="HSN5" s="19"/>
      <c r="HSR5" s="19"/>
      <c r="HSV5" s="19"/>
      <c r="HSZ5" s="19"/>
      <c r="HTD5" s="19"/>
      <c r="HTH5" s="19"/>
      <c r="HTL5" s="19"/>
      <c r="HTP5" s="19"/>
      <c r="HTT5" s="19"/>
      <c r="HTX5" s="19"/>
      <c r="HUB5" s="19"/>
      <c r="HUF5" s="19"/>
      <c r="HUJ5" s="19"/>
      <c r="HUN5" s="19"/>
      <c r="HUR5" s="19"/>
      <c r="HUV5" s="19"/>
      <c r="HUZ5" s="19"/>
      <c r="HVD5" s="19"/>
      <c r="HVH5" s="19"/>
      <c r="HVL5" s="19"/>
      <c r="HVP5" s="19"/>
      <c r="HVT5" s="19"/>
      <c r="HVX5" s="19"/>
      <c r="HWB5" s="19"/>
      <c r="HWF5" s="19"/>
      <c r="HWJ5" s="19"/>
      <c r="HWN5" s="19"/>
      <c r="HWR5" s="19"/>
      <c r="HWV5" s="19"/>
      <c r="HWZ5" s="19"/>
      <c r="HXD5" s="19"/>
      <c r="HXH5" s="19"/>
      <c r="HXL5" s="19"/>
      <c r="HXP5" s="19"/>
      <c r="HXT5" s="19"/>
      <c r="HXX5" s="19"/>
      <c r="HYB5" s="19"/>
      <c r="HYF5" s="19"/>
      <c r="HYJ5" s="19"/>
      <c r="HYN5" s="19"/>
      <c r="HYR5" s="19"/>
      <c r="HYV5" s="19"/>
      <c r="HYZ5" s="19"/>
      <c r="HZD5" s="19"/>
      <c r="HZH5" s="19"/>
      <c r="HZL5" s="19"/>
      <c r="HZP5" s="19"/>
      <c r="HZT5" s="19"/>
      <c r="HZX5" s="19"/>
      <c r="IAB5" s="19"/>
      <c r="IAF5" s="19"/>
      <c r="IAJ5" s="19"/>
      <c r="IAN5" s="19"/>
      <c r="IAR5" s="19"/>
      <c r="IAV5" s="19"/>
      <c r="IAZ5" s="19"/>
      <c r="IBD5" s="19"/>
      <c r="IBH5" s="19"/>
      <c r="IBL5" s="19"/>
      <c r="IBP5" s="19"/>
      <c r="IBT5" s="19"/>
      <c r="IBX5" s="19"/>
      <c r="ICB5" s="19"/>
      <c r="ICF5" s="19"/>
      <c r="ICJ5" s="19"/>
      <c r="ICN5" s="19"/>
      <c r="ICR5" s="19"/>
      <c r="ICV5" s="19"/>
      <c r="ICZ5" s="19"/>
      <c r="IDD5" s="19"/>
      <c r="IDH5" s="19"/>
      <c r="IDL5" s="19"/>
      <c r="IDP5" s="19"/>
      <c r="IDT5" s="19"/>
      <c r="IDX5" s="19"/>
      <c r="IEB5" s="19"/>
      <c r="IEF5" s="19"/>
      <c r="IEJ5" s="19"/>
      <c r="IEN5" s="19"/>
      <c r="IER5" s="19"/>
      <c r="IEV5" s="19"/>
      <c r="IEZ5" s="19"/>
      <c r="IFD5" s="19"/>
      <c r="IFH5" s="19"/>
      <c r="IFL5" s="19"/>
      <c r="IFP5" s="19"/>
      <c r="IFT5" s="19"/>
      <c r="IFX5" s="19"/>
      <c r="IGB5" s="19"/>
      <c r="IGF5" s="19"/>
      <c r="IGJ5" s="19"/>
      <c r="IGN5" s="19"/>
      <c r="IGR5" s="19"/>
      <c r="IGV5" s="19"/>
      <c r="IGZ5" s="19"/>
      <c r="IHD5" s="19"/>
      <c r="IHH5" s="19"/>
      <c r="IHL5" s="19"/>
      <c r="IHP5" s="19"/>
      <c r="IHT5" s="19"/>
      <c r="IHX5" s="19"/>
      <c r="IIB5" s="19"/>
      <c r="IIF5" s="19"/>
      <c r="IIJ5" s="19"/>
      <c r="IIN5" s="19"/>
      <c r="IIR5" s="19"/>
      <c r="IIV5" s="19"/>
      <c r="IIZ5" s="19"/>
      <c r="IJD5" s="19"/>
      <c r="IJH5" s="19"/>
      <c r="IJL5" s="19"/>
      <c r="IJP5" s="19"/>
      <c r="IJT5" s="19"/>
      <c r="IJX5" s="19"/>
      <c r="IKB5" s="19"/>
      <c r="IKF5" s="19"/>
      <c r="IKJ5" s="19"/>
      <c r="IKN5" s="19"/>
      <c r="IKR5" s="19"/>
      <c r="IKV5" s="19"/>
      <c r="IKZ5" s="19"/>
      <c r="ILD5" s="19"/>
      <c r="ILH5" s="19"/>
      <c r="ILL5" s="19"/>
      <c r="ILP5" s="19"/>
      <c r="ILT5" s="19"/>
      <c r="ILX5" s="19"/>
      <c r="IMB5" s="19"/>
      <c r="IMF5" s="19"/>
      <c r="IMJ5" s="19"/>
      <c r="IMN5" s="19"/>
      <c r="IMR5" s="19"/>
      <c r="IMV5" s="19"/>
      <c r="IMZ5" s="19"/>
      <c r="IND5" s="19"/>
      <c r="INH5" s="19"/>
      <c r="INL5" s="19"/>
      <c r="INP5" s="19"/>
      <c r="INT5" s="19"/>
      <c r="INX5" s="19"/>
      <c r="IOB5" s="19"/>
      <c r="IOF5" s="19"/>
      <c r="IOJ5" s="19"/>
      <c r="ION5" s="19"/>
      <c r="IOR5" s="19"/>
      <c r="IOV5" s="19"/>
      <c r="IOZ5" s="19"/>
      <c r="IPD5" s="19"/>
      <c r="IPH5" s="19"/>
      <c r="IPL5" s="19"/>
      <c r="IPP5" s="19"/>
      <c r="IPT5" s="19"/>
      <c r="IPX5" s="19"/>
      <c r="IQB5" s="19"/>
      <c r="IQF5" s="19"/>
      <c r="IQJ5" s="19"/>
      <c r="IQN5" s="19"/>
      <c r="IQR5" s="19"/>
      <c r="IQV5" s="19"/>
      <c r="IQZ5" s="19"/>
      <c r="IRD5" s="19"/>
      <c r="IRH5" s="19"/>
      <c r="IRL5" s="19"/>
      <c r="IRP5" s="19"/>
      <c r="IRT5" s="19"/>
      <c r="IRX5" s="19"/>
      <c r="ISB5" s="19"/>
      <c r="ISF5" s="19"/>
      <c r="ISJ5" s="19"/>
      <c r="ISN5" s="19"/>
      <c r="ISR5" s="19"/>
      <c r="ISV5" s="19"/>
      <c r="ISZ5" s="19"/>
      <c r="ITD5" s="19"/>
      <c r="ITH5" s="19"/>
      <c r="ITL5" s="19"/>
      <c r="ITP5" s="19"/>
      <c r="ITT5" s="19"/>
      <c r="ITX5" s="19"/>
      <c r="IUB5" s="19"/>
      <c r="IUF5" s="19"/>
      <c r="IUJ5" s="19"/>
      <c r="IUN5" s="19"/>
      <c r="IUR5" s="19"/>
      <c r="IUV5" s="19"/>
      <c r="IUZ5" s="19"/>
      <c r="IVD5" s="19"/>
      <c r="IVH5" s="19"/>
      <c r="IVL5" s="19"/>
      <c r="IVP5" s="19"/>
      <c r="IVT5" s="19"/>
      <c r="IVX5" s="19"/>
      <c r="IWB5" s="19"/>
      <c r="IWF5" s="19"/>
      <c r="IWJ5" s="19"/>
      <c r="IWN5" s="19"/>
      <c r="IWR5" s="19"/>
      <c r="IWV5" s="19"/>
      <c r="IWZ5" s="19"/>
      <c r="IXD5" s="19"/>
      <c r="IXH5" s="19"/>
      <c r="IXL5" s="19"/>
      <c r="IXP5" s="19"/>
      <c r="IXT5" s="19"/>
      <c r="IXX5" s="19"/>
      <c r="IYB5" s="19"/>
      <c r="IYF5" s="19"/>
      <c r="IYJ5" s="19"/>
      <c r="IYN5" s="19"/>
      <c r="IYR5" s="19"/>
      <c r="IYV5" s="19"/>
      <c r="IYZ5" s="19"/>
      <c r="IZD5" s="19"/>
      <c r="IZH5" s="19"/>
      <c r="IZL5" s="19"/>
      <c r="IZP5" s="19"/>
      <c r="IZT5" s="19"/>
      <c r="IZX5" s="19"/>
      <c r="JAB5" s="19"/>
      <c r="JAF5" s="19"/>
      <c r="JAJ5" s="19"/>
      <c r="JAN5" s="19"/>
      <c r="JAR5" s="19"/>
      <c r="JAV5" s="19"/>
      <c r="JAZ5" s="19"/>
      <c r="JBD5" s="19"/>
      <c r="JBH5" s="19"/>
      <c r="JBL5" s="19"/>
      <c r="JBP5" s="19"/>
      <c r="JBT5" s="19"/>
      <c r="JBX5" s="19"/>
      <c r="JCB5" s="19"/>
      <c r="JCF5" s="19"/>
      <c r="JCJ5" s="19"/>
      <c r="JCN5" s="19"/>
      <c r="JCR5" s="19"/>
      <c r="JCV5" s="19"/>
      <c r="JCZ5" s="19"/>
      <c r="JDD5" s="19"/>
      <c r="JDH5" s="19"/>
      <c r="JDL5" s="19"/>
      <c r="JDP5" s="19"/>
      <c r="JDT5" s="19"/>
      <c r="JDX5" s="19"/>
      <c r="JEB5" s="19"/>
      <c r="JEF5" s="19"/>
      <c r="JEJ5" s="19"/>
      <c r="JEN5" s="19"/>
      <c r="JER5" s="19"/>
      <c r="JEV5" s="19"/>
      <c r="JEZ5" s="19"/>
      <c r="JFD5" s="19"/>
      <c r="JFH5" s="19"/>
      <c r="JFL5" s="19"/>
      <c r="JFP5" s="19"/>
      <c r="JFT5" s="19"/>
      <c r="JFX5" s="19"/>
      <c r="JGB5" s="19"/>
      <c r="JGF5" s="19"/>
      <c r="JGJ5" s="19"/>
      <c r="JGN5" s="19"/>
      <c r="JGR5" s="19"/>
      <c r="JGV5" s="19"/>
      <c r="JGZ5" s="19"/>
      <c r="JHD5" s="19"/>
      <c r="JHH5" s="19"/>
      <c r="JHL5" s="19"/>
      <c r="JHP5" s="19"/>
      <c r="JHT5" s="19"/>
      <c r="JHX5" s="19"/>
      <c r="JIB5" s="19"/>
      <c r="JIF5" s="19"/>
      <c r="JIJ5" s="19"/>
      <c r="JIN5" s="19"/>
      <c r="JIR5" s="19"/>
      <c r="JIV5" s="19"/>
      <c r="JIZ5" s="19"/>
      <c r="JJD5" s="19"/>
      <c r="JJH5" s="19"/>
      <c r="JJL5" s="19"/>
      <c r="JJP5" s="19"/>
      <c r="JJT5" s="19"/>
      <c r="JJX5" s="19"/>
      <c r="JKB5" s="19"/>
      <c r="JKF5" s="19"/>
      <c r="JKJ5" s="19"/>
      <c r="JKN5" s="19"/>
      <c r="JKR5" s="19"/>
      <c r="JKV5" s="19"/>
      <c r="JKZ5" s="19"/>
      <c r="JLD5" s="19"/>
      <c r="JLH5" s="19"/>
      <c r="JLL5" s="19"/>
      <c r="JLP5" s="19"/>
      <c r="JLT5" s="19"/>
      <c r="JLX5" s="19"/>
      <c r="JMB5" s="19"/>
      <c r="JMF5" s="19"/>
      <c r="JMJ5" s="19"/>
      <c r="JMN5" s="19"/>
      <c r="JMR5" s="19"/>
      <c r="JMV5" s="19"/>
      <c r="JMZ5" s="19"/>
      <c r="JND5" s="19"/>
      <c r="JNH5" s="19"/>
      <c r="JNL5" s="19"/>
      <c r="JNP5" s="19"/>
      <c r="JNT5" s="19"/>
      <c r="JNX5" s="19"/>
      <c r="JOB5" s="19"/>
      <c r="JOF5" s="19"/>
      <c r="JOJ5" s="19"/>
      <c r="JON5" s="19"/>
      <c r="JOR5" s="19"/>
      <c r="JOV5" s="19"/>
      <c r="JOZ5" s="19"/>
      <c r="JPD5" s="19"/>
      <c r="JPH5" s="19"/>
      <c r="JPL5" s="19"/>
      <c r="JPP5" s="19"/>
      <c r="JPT5" s="19"/>
      <c r="JPX5" s="19"/>
      <c r="JQB5" s="19"/>
      <c r="JQF5" s="19"/>
      <c r="JQJ5" s="19"/>
      <c r="JQN5" s="19"/>
      <c r="JQR5" s="19"/>
      <c r="JQV5" s="19"/>
      <c r="JQZ5" s="19"/>
      <c r="JRD5" s="19"/>
      <c r="JRH5" s="19"/>
      <c r="JRL5" s="19"/>
      <c r="JRP5" s="19"/>
      <c r="JRT5" s="19"/>
      <c r="JRX5" s="19"/>
      <c r="JSB5" s="19"/>
      <c r="JSF5" s="19"/>
      <c r="JSJ5" s="19"/>
      <c r="JSN5" s="19"/>
      <c r="JSR5" s="19"/>
      <c r="JSV5" s="19"/>
      <c r="JSZ5" s="19"/>
      <c r="JTD5" s="19"/>
      <c r="JTH5" s="19"/>
      <c r="JTL5" s="19"/>
      <c r="JTP5" s="19"/>
      <c r="JTT5" s="19"/>
      <c r="JTX5" s="19"/>
      <c r="JUB5" s="19"/>
      <c r="JUF5" s="19"/>
      <c r="JUJ5" s="19"/>
      <c r="JUN5" s="19"/>
      <c r="JUR5" s="19"/>
      <c r="JUV5" s="19"/>
      <c r="JUZ5" s="19"/>
      <c r="JVD5" s="19"/>
      <c r="JVH5" s="19"/>
      <c r="JVL5" s="19"/>
      <c r="JVP5" s="19"/>
      <c r="JVT5" s="19"/>
      <c r="JVX5" s="19"/>
      <c r="JWB5" s="19"/>
      <c r="JWF5" s="19"/>
      <c r="JWJ5" s="19"/>
      <c r="JWN5" s="19"/>
      <c r="JWR5" s="19"/>
      <c r="JWV5" s="19"/>
      <c r="JWZ5" s="19"/>
      <c r="JXD5" s="19"/>
      <c r="JXH5" s="19"/>
      <c r="JXL5" s="19"/>
      <c r="JXP5" s="19"/>
      <c r="JXT5" s="19"/>
      <c r="JXX5" s="19"/>
      <c r="JYB5" s="19"/>
      <c r="JYF5" s="19"/>
      <c r="JYJ5" s="19"/>
      <c r="JYN5" s="19"/>
      <c r="JYR5" s="19"/>
      <c r="JYV5" s="19"/>
      <c r="JYZ5" s="19"/>
      <c r="JZD5" s="19"/>
      <c r="JZH5" s="19"/>
      <c r="JZL5" s="19"/>
      <c r="JZP5" s="19"/>
      <c r="JZT5" s="19"/>
      <c r="JZX5" s="19"/>
      <c r="KAB5" s="19"/>
      <c r="KAF5" s="19"/>
      <c r="KAJ5" s="19"/>
      <c r="KAN5" s="19"/>
      <c r="KAR5" s="19"/>
      <c r="KAV5" s="19"/>
      <c r="KAZ5" s="19"/>
      <c r="KBD5" s="19"/>
      <c r="KBH5" s="19"/>
      <c r="KBL5" s="19"/>
      <c r="KBP5" s="19"/>
      <c r="KBT5" s="19"/>
      <c r="KBX5" s="19"/>
      <c r="KCB5" s="19"/>
      <c r="KCF5" s="19"/>
      <c r="KCJ5" s="19"/>
      <c r="KCN5" s="19"/>
      <c r="KCR5" s="19"/>
      <c r="KCV5" s="19"/>
      <c r="KCZ5" s="19"/>
      <c r="KDD5" s="19"/>
      <c r="KDH5" s="19"/>
      <c r="KDL5" s="19"/>
      <c r="KDP5" s="19"/>
      <c r="KDT5" s="19"/>
      <c r="KDX5" s="19"/>
      <c r="KEB5" s="19"/>
      <c r="KEF5" s="19"/>
      <c r="KEJ5" s="19"/>
      <c r="KEN5" s="19"/>
      <c r="KER5" s="19"/>
      <c r="KEV5" s="19"/>
      <c r="KEZ5" s="19"/>
      <c r="KFD5" s="19"/>
      <c r="KFH5" s="19"/>
      <c r="KFL5" s="19"/>
      <c r="KFP5" s="19"/>
      <c r="KFT5" s="19"/>
      <c r="KFX5" s="19"/>
      <c r="KGB5" s="19"/>
      <c r="KGF5" s="19"/>
      <c r="KGJ5" s="19"/>
      <c r="KGN5" s="19"/>
      <c r="KGR5" s="19"/>
      <c r="KGV5" s="19"/>
      <c r="KGZ5" s="19"/>
      <c r="KHD5" s="19"/>
      <c r="KHH5" s="19"/>
      <c r="KHL5" s="19"/>
      <c r="KHP5" s="19"/>
      <c r="KHT5" s="19"/>
      <c r="KHX5" s="19"/>
      <c r="KIB5" s="19"/>
      <c r="KIF5" s="19"/>
      <c r="KIJ5" s="19"/>
      <c r="KIN5" s="19"/>
      <c r="KIR5" s="19"/>
      <c r="KIV5" s="19"/>
      <c r="KIZ5" s="19"/>
      <c r="KJD5" s="19"/>
      <c r="KJH5" s="19"/>
      <c r="KJL5" s="19"/>
      <c r="KJP5" s="19"/>
      <c r="KJT5" s="19"/>
      <c r="KJX5" s="19"/>
      <c r="KKB5" s="19"/>
      <c r="KKF5" s="19"/>
      <c r="KKJ5" s="19"/>
      <c r="KKN5" s="19"/>
      <c r="KKR5" s="19"/>
      <c r="KKV5" s="19"/>
      <c r="KKZ5" s="19"/>
      <c r="KLD5" s="19"/>
      <c r="KLH5" s="19"/>
      <c r="KLL5" s="19"/>
      <c r="KLP5" s="19"/>
      <c r="KLT5" s="19"/>
      <c r="KLX5" s="19"/>
      <c r="KMB5" s="19"/>
      <c r="KMF5" s="19"/>
      <c r="KMJ5" s="19"/>
      <c r="KMN5" s="19"/>
      <c r="KMR5" s="19"/>
      <c r="KMV5" s="19"/>
      <c r="KMZ5" s="19"/>
      <c r="KND5" s="19"/>
      <c r="KNH5" s="19"/>
      <c r="KNL5" s="19"/>
      <c r="KNP5" s="19"/>
      <c r="KNT5" s="19"/>
      <c r="KNX5" s="19"/>
      <c r="KOB5" s="19"/>
      <c r="KOF5" s="19"/>
      <c r="KOJ5" s="19"/>
      <c r="KON5" s="19"/>
      <c r="KOR5" s="19"/>
      <c r="KOV5" s="19"/>
      <c r="KOZ5" s="19"/>
      <c r="KPD5" s="19"/>
      <c r="KPH5" s="19"/>
      <c r="KPL5" s="19"/>
      <c r="KPP5" s="19"/>
      <c r="KPT5" s="19"/>
      <c r="KPX5" s="19"/>
      <c r="KQB5" s="19"/>
      <c r="KQF5" s="19"/>
      <c r="KQJ5" s="19"/>
      <c r="KQN5" s="19"/>
      <c r="KQR5" s="19"/>
      <c r="KQV5" s="19"/>
      <c r="KQZ5" s="19"/>
      <c r="KRD5" s="19"/>
      <c r="KRH5" s="19"/>
      <c r="KRL5" s="19"/>
      <c r="KRP5" s="19"/>
      <c r="KRT5" s="19"/>
      <c r="KRX5" s="19"/>
      <c r="KSB5" s="19"/>
      <c r="KSF5" s="19"/>
      <c r="KSJ5" s="19"/>
      <c r="KSN5" s="19"/>
      <c r="KSR5" s="19"/>
      <c r="KSV5" s="19"/>
      <c r="KSZ5" s="19"/>
      <c r="KTD5" s="19"/>
      <c r="KTH5" s="19"/>
      <c r="KTL5" s="19"/>
      <c r="KTP5" s="19"/>
      <c r="KTT5" s="19"/>
      <c r="KTX5" s="19"/>
      <c r="KUB5" s="19"/>
      <c r="KUF5" s="19"/>
      <c r="KUJ5" s="19"/>
      <c r="KUN5" s="19"/>
      <c r="KUR5" s="19"/>
      <c r="KUV5" s="19"/>
      <c r="KUZ5" s="19"/>
      <c r="KVD5" s="19"/>
      <c r="KVH5" s="19"/>
      <c r="KVL5" s="19"/>
      <c r="KVP5" s="19"/>
      <c r="KVT5" s="19"/>
      <c r="KVX5" s="19"/>
      <c r="KWB5" s="19"/>
      <c r="KWF5" s="19"/>
      <c r="KWJ5" s="19"/>
      <c r="KWN5" s="19"/>
      <c r="KWR5" s="19"/>
      <c r="KWV5" s="19"/>
      <c r="KWZ5" s="19"/>
      <c r="KXD5" s="19"/>
      <c r="KXH5" s="19"/>
      <c r="KXL5" s="19"/>
      <c r="KXP5" s="19"/>
      <c r="KXT5" s="19"/>
      <c r="KXX5" s="19"/>
      <c r="KYB5" s="19"/>
      <c r="KYF5" s="19"/>
      <c r="KYJ5" s="19"/>
      <c r="KYN5" s="19"/>
      <c r="KYR5" s="19"/>
      <c r="KYV5" s="19"/>
      <c r="KYZ5" s="19"/>
      <c r="KZD5" s="19"/>
      <c r="KZH5" s="19"/>
      <c r="KZL5" s="19"/>
      <c r="KZP5" s="19"/>
      <c r="KZT5" s="19"/>
      <c r="KZX5" s="19"/>
      <c r="LAB5" s="19"/>
      <c r="LAF5" s="19"/>
      <c r="LAJ5" s="19"/>
      <c r="LAN5" s="19"/>
      <c r="LAR5" s="19"/>
      <c r="LAV5" s="19"/>
      <c r="LAZ5" s="19"/>
      <c r="LBD5" s="19"/>
      <c r="LBH5" s="19"/>
      <c r="LBL5" s="19"/>
      <c r="LBP5" s="19"/>
      <c r="LBT5" s="19"/>
      <c r="LBX5" s="19"/>
      <c r="LCB5" s="19"/>
      <c r="LCF5" s="19"/>
      <c r="LCJ5" s="19"/>
      <c r="LCN5" s="19"/>
      <c r="LCR5" s="19"/>
      <c r="LCV5" s="19"/>
      <c r="LCZ5" s="19"/>
      <c r="LDD5" s="19"/>
      <c r="LDH5" s="19"/>
      <c r="LDL5" s="19"/>
      <c r="LDP5" s="19"/>
      <c r="LDT5" s="19"/>
      <c r="LDX5" s="19"/>
      <c r="LEB5" s="19"/>
      <c r="LEF5" s="19"/>
      <c r="LEJ5" s="19"/>
      <c r="LEN5" s="19"/>
      <c r="LER5" s="19"/>
      <c r="LEV5" s="19"/>
      <c r="LEZ5" s="19"/>
      <c r="LFD5" s="19"/>
      <c r="LFH5" s="19"/>
      <c r="LFL5" s="19"/>
      <c r="LFP5" s="19"/>
      <c r="LFT5" s="19"/>
      <c r="LFX5" s="19"/>
      <c r="LGB5" s="19"/>
      <c r="LGF5" s="19"/>
      <c r="LGJ5" s="19"/>
      <c r="LGN5" s="19"/>
      <c r="LGR5" s="19"/>
      <c r="LGV5" s="19"/>
      <c r="LGZ5" s="19"/>
      <c r="LHD5" s="19"/>
      <c r="LHH5" s="19"/>
      <c r="LHL5" s="19"/>
      <c r="LHP5" s="19"/>
      <c r="LHT5" s="19"/>
      <c r="LHX5" s="19"/>
      <c r="LIB5" s="19"/>
      <c r="LIF5" s="19"/>
      <c r="LIJ5" s="19"/>
      <c r="LIN5" s="19"/>
      <c r="LIR5" s="19"/>
      <c r="LIV5" s="19"/>
      <c r="LIZ5" s="19"/>
      <c r="LJD5" s="19"/>
      <c r="LJH5" s="19"/>
      <c r="LJL5" s="19"/>
      <c r="LJP5" s="19"/>
      <c r="LJT5" s="19"/>
      <c r="LJX5" s="19"/>
      <c r="LKB5" s="19"/>
      <c r="LKF5" s="19"/>
      <c r="LKJ5" s="19"/>
      <c r="LKN5" s="19"/>
      <c r="LKR5" s="19"/>
      <c r="LKV5" s="19"/>
      <c r="LKZ5" s="19"/>
      <c r="LLD5" s="19"/>
      <c r="LLH5" s="19"/>
      <c r="LLL5" s="19"/>
      <c r="LLP5" s="19"/>
      <c r="LLT5" s="19"/>
      <c r="LLX5" s="19"/>
      <c r="LMB5" s="19"/>
      <c r="LMF5" s="19"/>
      <c r="LMJ5" s="19"/>
      <c r="LMN5" s="19"/>
      <c r="LMR5" s="19"/>
      <c r="LMV5" s="19"/>
      <c r="LMZ5" s="19"/>
      <c r="LND5" s="19"/>
      <c r="LNH5" s="19"/>
      <c r="LNL5" s="19"/>
      <c r="LNP5" s="19"/>
      <c r="LNT5" s="19"/>
      <c r="LNX5" s="19"/>
      <c r="LOB5" s="19"/>
      <c r="LOF5" s="19"/>
      <c r="LOJ5" s="19"/>
      <c r="LON5" s="19"/>
      <c r="LOR5" s="19"/>
      <c r="LOV5" s="19"/>
      <c r="LOZ5" s="19"/>
      <c r="LPD5" s="19"/>
      <c r="LPH5" s="19"/>
      <c r="LPL5" s="19"/>
      <c r="LPP5" s="19"/>
      <c r="LPT5" s="19"/>
      <c r="LPX5" s="19"/>
      <c r="LQB5" s="19"/>
      <c r="LQF5" s="19"/>
      <c r="LQJ5" s="19"/>
      <c r="LQN5" s="19"/>
      <c r="LQR5" s="19"/>
      <c r="LQV5" s="19"/>
      <c r="LQZ5" s="19"/>
      <c r="LRD5" s="19"/>
      <c r="LRH5" s="19"/>
      <c r="LRL5" s="19"/>
      <c r="LRP5" s="19"/>
      <c r="LRT5" s="19"/>
      <c r="LRX5" s="19"/>
      <c r="LSB5" s="19"/>
      <c r="LSF5" s="19"/>
      <c r="LSJ5" s="19"/>
      <c r="LSN5" s="19"/>
      <c r="LSR5" s="19"/>
      <c r="LSV5" s="19"/>
      <c r="LSZ5" s="19"/>
      <c r="LTD5" s="19"/>
      <c r="LTH5" s="19"/>
      <c r="LTL5" s="19"/>
      <c r="LTP5" s="19"/>
      <c r="LTT5" s="19"/>
      <c r="LTX5" s="19"/>
      <c r="LUB5" s="19"/>
      <c r="LUF5" s="19"/>
      <c r="LUJ5" s="19"/>
      <c r="LUN5" s="19"/>
      <c r="LUR5" s="19"/>
      <c r="LUV5" s="19"/>
      <c r="LUZ5" s="19"/>
      <c r="LVD5" s="19"/>
      <c r="LVH5" s="19"/>
      <c r="LVL5" s="19"/>
      <c r="LVP5" s="19"/>
      <c r="LVT5" s="19"/>
      <c r="LVX5" s="19"/>
      <c r="LWB5" s="19"/>
      <c r="LWF5" s="19"/>
      <c r="LWJ5" s="19"/>
      <c r="LWN5" s="19"/>
      <c r="LWR5" s="19"/>
      <c r="LWV5" s="19"/>
      <c r="LWZ5" s="19"/>
      <c r="LXD5" s="19"/>
      <c r="LXH5" s="19"/>
      <c r="LXL5" s="19"/>
      <c r="LXP5" s="19"/>
      <c r="LXT5" s="19"/>
      <c r="LXX5" s="19"/>
      <c r="LYB5" s="19"/>
      <c r="LYF5" s="19"/>
      <c r="LYJ5" s="19"/>
      <c r="LYN5" s="19"/>
      <c r="LYR5" s="19"/>
      <c r="LYV5" s="19"/>
      <c r="LYZ5" s="19"/>
      <c r="LZD5" s="19"/>
      <c r="LZH5" s="19"/>
      <c r="LZL5" s="19"/>
      <c r="LZP5" s="19"/>
      <c r="LZT5" s="19"/>
      <c r="LZX5" s="19"/>
      <c r="MAB5" s="19"/>
      <c r="MAF5" s="19"/>
      <c r="MAJ5" s="19"/>
      <c r="MAN5" s="19"/>
      <c r="MAR5" s="19"/>
      <c r="MAV5" s="19"/>
      <c r="MAZ5" s="19"/>
      <c r="MBD5" s="19"/>
      <c r="MBH5" s="19"/>
      <c r="MBL5" s="19"/>
      <c r="MBP5" s="19"/>
      <c r="MBT5" s="19"/>
      <c r="MBX5" s="19"/>
      <c r="MCB5" s="19"/>
      <c r="MCF5" s="19"/>
      <c r="MCJ5" s="19"/>
      <c r="MCN5" s="19"/>
      <c r="MCR5" s="19"/>
      <c r="MCV5" s="19"/>
      <c r="MCZ5" s="19"/>
      <c r="MDD5" s="19"/>
      <c r="MDH5" s="19"/>
      <c r="MDL5" s="19"/>
      <c r="MDP5" s="19"/>
      <c r="MDT5" s="19"/>
      <c r="MDX5" s="19"/>
      <c r="MEB5" s="19"/>
      <c r="MEF5" s="19"/>
      <c r="MEJ5" s="19"/>
      <c r="MEN5" s="19"/>
      <c r="MER5" s="19"/>
      <c r="MEV5" s="19"/>
      <c r="MEZ5" s="19"/>
      <c r="MFD5" s="19"/>
      <c r="MFH5" s="19"/>
      <c r="MFL5" s="19"/>
      <c r="MFP5" s="19"/>
      <c r="MFT5" s="19"/>
      <c r="MFX5" s="19"/>
      <c r="MGB5" s="19"/>
      <c r="MGF5" s="19"/>
      <c r="MGJ5" s="19"/>
      <c r="MGN5" s="19"/>
      <c r="MGR5" s="19"/>
      <c r="MGV5" s="19"/>
      <c r="MGZ5" s="19"/>
      <c r="MHD5" s="19"/>
      <c r="MHH5" s="19"/>
      <c r="MHL5" s="19"/>
      <c r="MHP5" s="19"/>
      <c r="MHT5" s="19"/>
      <c r="MHX5" s="19"/>
      <c r="MIB5" s="19"/>
      <c r="MIF5" s="19"/>
      <c r="MIJ5" s="19"/>
      <c r="MIN5" s="19"/>
      <c r="MIR5" s="19"/>
      <c r="MIV5" s="19"/>
      <c r="MIZ5" s="19"/>
      <c r="MJD5" s="19"/>
      <c r="MJH5" s="19"/>
      <c r="MJL5" s="19"/>
      <c r="MJP5" s="19"/>
      <c r="MJT5" s="19"/>
      <c r="MJX5" s="19"/>
      <c r="MKB5" s="19"/>
      <c r="MKF5" s="19"/>
      <c r="MKJ5" s="19"/>
      <c r="MKN5" s="19"/>
      <c r="MKR5" s="19"/>
      <c r="MKV5" s="19"/>
      <c r="MKZ5" s="19"/>
      <c r="MLD5" s="19"/>
      <c r="MLH5" s="19"/>
      <c r="MLL5" s="19"/>
      <c r="MLP5" s="19"/>
      <c r="MLT5" s="19"/>
      <c r="MLX5" s="19"/>
      <c r="MMB5" s="19"/>
      <c r="MMF5" s="19"/>
      <c r="MMJ5" s="19"/>
      <c r="MMN5" s="19"/>
      <c r="MMR5" s="19"/>
      <c r="MMV5" s="19"/>
      <c r="MMZ5" s="19"/>
      <c r="MND5" s="19"/>
      <c r="MNH5" s="19"/>
      <c r="MNL5" s="19"/>
      <c r="MNP5" s="19"/>
      <c r="MNT5" s="19"/>
      <c r="MNX5" s="19"/>
      <c r="MOB5" s="19"/>
      <c r="MOF5" s="19"/>
      <c r="MOJ5" s="19"/>
      <c r="MON5" s="19"/>
      <c r="MOR5" s="19"/>
      <c r="MOV5" s="19"/>
      <c r="MOZ5" s="19"/>
      <c r="MPD5" s="19"/>
      <c r="MPH5" s="19"/>
      <c r="MPL5" s="19"/>
      <c r="MPP5" s="19"/>
      <c r="MPT5" s="19"/>
      <c r="MPX5" s="19"/>
      <c r="MQB5" s="19"/>
      <c r="MQF5" s="19"/>
      <c r="MQJ5" s="19"/>
      <c r="MQN5" s="19"/>
      <c r="MQR5" s="19"/>
      <c r="MQV5" s="19"/>
      <c r="MQZ5" s="19"/>
      <c r="MRD5" s="19"/>
      <c r="MRH5" s="19"/>
      <c r="MRL5" s="19"/>
      <c r="MRP5" s="19"/>
      <c r="MRT5" s="19"/>
      <c r="MRX5" s="19"/>
      <c r="MSB5" s="19"/>
      <c r="MSF5" s="19"/>
      <c r="MSJ5" s="19"/>
      <c r="MSN5" s="19"/>
      <c r="MSR5" s="19"/>
      <c r="MSV5" s="19"/>
      <c r="MSZ5" s="19"/>
      <c r="MTD5" s="19"/>
      <c r="MTH5" s="19"/>
      <c r="MTL5" s="19"/>
      <c r="MTP5" s="19"/>
      <c r="MTT5" s="19"/>
      <c r="MTX5" s="19"/>
      <c r="MUB5" s="19"/>
      <c r="MUF5" s="19"/>
      <c r="MUJ5" s="19"/>
      <c r="MUN5" s="19"/>
      <c r="MUR5" s="19"/>
      <c r="MUV5" s="19"/>
      <c r="MUZ5" s="19"/>
      <c r="MVD5" s="19"/>
      <c r="MVH5" s="19"/>
      <c r="MVL5" s="19"/>
      <c r="MVP5" s="19"/>
      <c r="MVT5" s="19"/>
      <c r="MVX5" s="19"/>
      <c r="MWB5" s="19"/>
      <c r="MWF5" s="19"/>
      <c r="MWJ5" s="19"/>
      <c r="MWN5" s="19"/>
      <c r="MWR5" s="19"/>
      <c r="MWV5" s="19"/>
      <c r="MWZ5" s="19"/>
      <c r="MXD5" s="19"/>
      <c r="MXH5" s="19"/>
      <c r="MXL5" s="19"/>
      <c r="MXP5" s="19"/>
      <c r="MXT5" s="19"/>
      <c r="MXX5" s="19"/>
      <c r="MYB5" s="19"/>
      <c r="MYF5" s="19"/>
      <c r="MYJ5" s="19"/>
      <c r="MYN5" s="19"/>
      <c r="MYR5" s="19"/>
      <c r="MYV5" s="19"/>
      <c r="MYZ5" s="19"/>
      <c r="MZD5" s="19"/>
      <c r="MZH5" s="19"/>
      <c r="MZL5" s="19"/>
      <c r="MZP5" s="19"/>
      <c r="MZT5" s="19"/>
      <c r="MZX5" s="19"/>
      <c r="NAB5" s="19"/>
      <c r="NAF5" s="19"/>
      <c r="NAJ5" s="19"/>
      <c r="NAN5" s="19"/>
      <c r="NAR5" s="19"/>
      <c r="NAV5" s="19"/>
      <c r="NAZ5" s="19"/>
      <c r="NBD5" s="19"/>
      <c r="NBH5" s="19"/>
      <c r="NBL5" s="19"/>
      <c r="NBP5" s="19"/>
      <c r="NBT5" s="19"/>
      <c r="NBX5" s="19"/>
      <c r="NCB5" s="19"/>
      <c r="NCF5" s="19"/>
      <c r="NCJ5" s="19"/>
      <c r="NCN5" s="19"/>
      <c r="NCR5" s="19"/>
      <c r="NCV5" s="19"/>
      <c r="NCZ5" s="19"/>
      <c r="NDD5" s="19"/>
      <c r="NDH5" s="19"/>
      <c r="NDL5" s="19"/>
      <c r="NDP5" s="19"/>
      <c r="NDT5" s="19"/>
      <c r="NDX5" s="19"/>
      <c r="NEB5" s="19"/>
      <c r="NEF5" s="19"/>
      <c r="NEJ5" s="19"/>
      <c r="NEN5" s="19"/>
      <c r="NER5" s="19"/>
      <c r="NEV5" s="19"/>
      <c r="NEZ5" s="19"/>
      <c r="NFD5" s="19"/>
      <c r="NFH5" s="19"/>
      <c r="NFL5" s="19"/>
      <c r="NFP5" s="19"/>
      <c r="NFT5" s="19"/>
      <c r="NFX5" s="19"/>
      <c r="NGB5" s="19"/>
      <c r="NGF5" s="19"/>
      <c r="NGJ5" s="19"/>
      <c r="NGN5" s="19"/>
      <c r="NGR5" s="19"/>
      <c r="NGV5" s="19"/>
      <c r="NGZ5" s="19"/>
      <c r="NHD5" s="19"/>
      <c r="NHH5" s="19"/>
      <c r="NHL5" s="19"/>
      <c r="NHP5" s="19"/>
      <c r="NHT5" s="19"/>
      <c r="NHX5" s="19"/>
      <c r="NIB5" s="19"/>
      <c r="NIF5" s="19"/>
      <c r="NIJ5" s="19"/>
      <c r="NIN5" s="19"/>
      <c r="NIR5" s="19"/>
      <c r="NIV5" s="19"/>
      <c r="NIZ5" s="19"/>
      <c r="NJD5" s="19"/>
      <c r="NJH5" s="19"/>
      <c r="NJL5" s="19"/>
      <c r="NJP5" s="19"/>
      <c r="NJT5" s="19"/>
      <c r="NJX5" s="19"/>
      <c r="NKB5" s="19"/>
      <c r="NKF5" s="19"/>
      <c r="NKJ5" s="19"/>
      <c r="NKN5" s="19"/>
      <c r="NKR5" s="19"/>
      <c r="NKV5" s="19"/>
      <c r="NKZ5" s="19"/>
      <c r="NLD5" s="19"/>
      <c r="NLH5" s="19"/>
      <c r="NLL5" s="19"/>
      <c r="NLP5" s="19"/>
      <c r="NLT5" s="19"/>
      <c r="NLX5" s="19"/>
      <c r="NMB5" s="19"/>
      <c r="NMF5" s="19"/>
      <c r="NMJ5" s="19"/>
      <c r="NMN5" s="19"/>
      <c r="NMR5" s="19"/>
      <c r="NMV5" s="19"/>
      <c r="NMZ5" s="19"/>
      <c r="NND5" s="19"/>
      <c r="NNH5" s="19"/>
      <c r="NNL5" s="19"/>
      <c r="NNP5" s="19"/>
      <c r="NNT5" s="19"/>
      <c r="NNX5" s="19"/>
      <c r="NOB5" s="19"/>
      <c r="NOF5" s="19"/>
      <c r="NOJ5" s="19"/>
      <c r="NON5" s="19"/>
      <c r="NOR5" s="19"/>
      <c r="NOV5" s="19"/>
      <c r="NOZ5" s="19"/>
      <c r="NPD5" s="19"/>
      <c r="NPH5" s="19"/>
      <c r="NPL5" s="19"/>
      <c r="NPP5" s="19"/>
      <c r="NPT5" s="19"/>
      <c r="NPX5" s="19"/>
      <c r="NQB5" s="19"/>
      <c r="NQF5" s="19"/>
      <c r="NQJ5" s="19"/>
      <c r="NQN5" s="19"/>
      <c r="NQR5" s="19"/>
      <c r="NQV5" s="19"/>
      <c r="NQZ5" s="19"/>
      <c r="NRD5" s="19"/>
      <c r="NRH5" s="19"/>
      <c r="NRL5" s="19"/>
      <c r="NRP5" s="19"/>
      <c r="NRT5" s="19"/>
      <c r="NRX5" s="19"/>
      <c r="NSB5" s="19"/>
      <c r="NSF5" s="19"/>
      <c r="NSJ5" s="19"/>
      <c r="NSN5" s="19"/>
      <c r="NSR5" s="19"/>
      <c r="NSV5" s="19"/>
      <c r="NSZ5" s="19"/>
      <c r="NTD5" s="19"/>
      <c r="NTH5" s="19"/>
      <c r="NTL5" s="19"/>
      <c r="NTP5" s="19"/>
      <c r="NTT5" s="19"/>
      <c r="NTX5" s="19"/>
      <c r="NUB5" s="19"/>
      <c r="NUF5" s="19"/>
      <c r="NUJ5" s="19"/>
      <c r="NUN5" s="19"/>
      <c r="NUR5" s="19"/>
      <c r="NUV5" s="19"/>
      <c r="NUZ5" s="19"/>
      <c r="NVD5" s="19"/>
      <c r="NVH5" s="19"/>
      <c r="NVL5" s="19"/>
      <c r="NVP5" s="19"/>
      <c r="NVT5" s="19"/>
      <c r="NVX5" s="19"/>
      <c r="NWB5" s="19"/>
      <c r="NWF5" s="19"/>
      <c r="NWJ5" s="19"/>
      <c r="NWN5" s="19"/>
      <c r="NWR5" s="19"/>
      <c r="NWV5" s="19"/>
      <c r="NWZ5" s="19"/>
      <c r="NXD5" s="19"/>
      <c r="NXH5" s="19"/>
      <c r="NXL5" s="19"/>
      <c r="NXP5" s="19"/>
      <c r="NXT5" s="19"/>
      <c r="NXX5" s="19"/>
      <c r="NYB5" s="19"/>
      <c r="NYF5" s="19"/>
      <c r="NYJ5" s="19"/>
      <c r="NYN5" s="19"/>
      <c r="NYR5" s="19"/>
      <c r="NYV5" s="19"/>
      <c r="NYZ5" s="19"/>
      <c r="NZD5" s="19"/>
      <c r="NZH5" s="19"/>
      <c r="NZL5" s="19"/>
      <c r="NZP5" s="19"/>
      <c r="NZT5" s="19"/>
      <c r="NZX5" s="19"/>
      <c r="OAB5" s="19"/>
      <c r="OAF5" s="19"/>
      <c r="OAJ5" s="19"/>
      <c r="OAN5" s="19"/>
      <c r="OAR5" s="19"/>
      <c r="OAV5" s="19"/>
      <c r="OAZ5" s="19"/>
      <c r="OBD5" s="19"/>
      <c r="OBH5" s="19"/>
      <c r="OBL5" s="19"/>
      <c r="OBP5" s="19"/>
      <c r="OBT5" s="19"/>
      <c r="OBX5" s="19"/>
      <c r="OCB5" s="19"/>
      <c r="OCF5" s="19"/>
      <c r="OCJ5" s="19"/>
      <c r="OCN5" s="19"/>
      <c r="OCR5" s="19"/>
      <c r="OCV5" s="19"/>
      <c r="OCZ5" s="19"/>
      <c r="ODD5" s="19"/>
      <c r="ODH5" s="19"/>
      <c r="ODL5" s="19"/>
      <c r="ODP5" s="19"/>
      <c r="ODT5" s="19"/>
      <c r="ODX5" s="19"/>
      <c r="OEB5" s="19"/>
      <c r="OEF5" s="19"/>
      <c r="OEJ5" s="19"/>
      <c r="OEN5" s="19"/>
      <c r="OER5" s="19"/>
      <c r="OEV5" s="19"/>
      <c r="OEZ5" s="19"/>
      <c r="OFD5" s="19"/>
      <c r="OFH5" s="19"/>
      <c r="OFL5" s="19"/>
      <c r="OFP5" s="19"/>
      <c r="OFT5" s="19"/>
      <c r="OFX5" s="19"/>
      <c r="OGB5" s="19"/>
      <c r="OGF5" s="19"/>
      <c r="OGJ5" s="19"/>
      <c r="OGN5" s="19"/>
      <c r="OGR5" s="19"/>
      <c r="OGV5" s="19"/>
      <c r="OGZ5" s="19"/>
      <c r="OHD5" s="19"/>
      <c r="OHH5" s="19"/>
      <c r="OHL5" s="19"/>
      <c r="OHP5" s="19"/>
      <c r="OHT5" s="19"/>
      <c r="OHX5" s="19"/>
      <c r="OIB5" s="19"/>
      <c r="OIF5" s="19"/>
      <c r="OIJ5" s="19"/>
      <c r="OIN5" s="19"/>
      <c r="OIR5" s="19"/>
      <c r="OIV5" s="19"/>
      <c r="OIZ5" s="19"/>
      <c r="OJD5" s="19"/>
      <c r="OJH5" s="19"/>
      <c r="OJL5" s="19"/>
      <c r="OJP5" s="19"/>
      <c r="OJT5" s="19"/>
      <c r="OJX5" s="19"/>
      <c r="OKB5" s="19"/>
      <c r="OKF5" s="19"/>
      <c r="OKJ5" s="19"/>
      <c r="OKN5" s="19"/>
      <c r="OKR5" s="19"/>
      <c r="OKV5" s="19"/>
      <c r="OKZ5" s="19"/>
      <c r="OLD5" s="19"/>
      <c r="OLH5" s="19"/>
      <c r="OLL5" s="19"/>
      <c r="OLP5" s="19"/>
      <c r="OLT5" s="19"/>
      <c r="OLX5" s="19"/>
      <c r="OMB5" s="19"/>
      <c r="OMF5" s="19"/>
      <c r="OMJ5" s="19"/>
      <c r="OMN5" s="19"/>
      <c r="OMR5" s="19"/>
      <c r="OMV5" s="19"/>
      <c r="OMZ5" s="19"/>
      <c r="OND5" s="19"/>
      <c r="ONH5" s="19"/>
      <c r="ONL5" s="19"/>
      <c r="ONP5" s="19"/>
      <c r="ONT5" s="19"/>
      <c r="ONX5" s="19"/>
      <c r="OOB5" s="19"/>
      <c r="OOF5" s="19"/>
      <c r="OOJ5" s="19"/>
      <c r="OON5" s="19"/>
      <c r="OOR5" s="19"/>
      <c r="OOV5" s="19"/>
      <c r="OOZ5" s="19"/>
      <c r="OPD5" s="19"/>
      <c r="OPH5" s="19"/>
      <c r="OPL5" s="19"/>
      <c r="OPP5" s="19"/>
      <c r="OPT5" s="19"/>
      <c r="OPX5" s="19"/>
      <c r="OQB5" s="19"/>
      <c r="OQF5" s="19"/>
      <c r="OQJ5" s="19"/>
      <c r="OQN5" s="19"/>
      <c r="OQR5" s="19"/>
      <c r="OQV5" s="19"/>
      <c r="OQZ5" s="19"/>
      <c r="ORD5" s="19"/>
      <c r="ORH5" s="19"/>
      <c r="ORL5" s="19"/>
      <c r="ORP5" s="19"/>
      <c r="ORT5" s="19"/>
      <c r="ORX5" s="19"/>
      <c r="OSB5" s="19"/>
      <c r="OSF5" s="19"/>
      <c r="OSJ5" s="19"/>
      <c r="OSN5" s="19"/>
      <c r="OSR5" s="19"/>
      <c r="OSV5" s="19"/>
      <c r="OSZ5" s="19"/>
      <c r="OTD5" s="19"/>
      <c r="OTH5" s="19"/>
      <c r="OTL5" s="19"/>
      <c r="OTP5" s="19"/>
      <c r="OTT5" s="19"/>
      <c r="OTX5" s="19"/>
      <c r="OUB5" s="19"/>
      <c r="OUF5" s="19"/>
      <c r="OUJ5" s="19"/>
      <c r="OUN5" s="19"/>
      <c r="OUR5" s="19"/>
      <c r="OUV5" s="19"/>
      <c r="OUZ5" s="19"/>
      <c r="OVD5" s="19"/>
      <c r="OVH5" s="19"/>
      <c r="OVL5" s="19"/>
      <c r="OVP5" s="19"/>
      <c r="OVT5" s="19"/>
      <c r="OVX5" s="19"/>
      <c r="OWB5" s="19"/>
      <c r="OWF5" s="19"/>
      <c r="OWJ5" s="19"/>
      <c r="OWN5" s="19"/>
      <c r="OWR5" s="19"/>
      <c r="OWV5" s="19"/>
      <c r="OWZ5" s="19"/>
      <c r="OXD5" s="19"/>
      <c r="OXH5" s="19"/>
      <c r="OXL5" s="19"/>
      <c r="OXP5" s="19"/>
      <c r="OXT5" s="19"/>
      <c r="OXX5" s="19"/>
      <c r="OYB5" s="19"/>
      <c r="OYF5" s="19"/>
      <c r="OYJ5" s="19"/>
      <c r="OYN5" s="19"/>
      <c r="OYR5" s="19"/>
      <c r="OYV5" s="19"/>
      <c r="OYZ5" s="19"/>
      <c r="OZD5" s="19"/>
      <c r="OZH5" s="19"/>
      <c r="OZL5" s="19"/>
      <c r="OZP5" s="19"/>
      <c r="OZT5" s="19"/>
      <c r="OZX5" s="19"/>
      <c r="PAB5" s="19"/>
      <c r="PAF5" s="19"/>
      <c r="PAJ5" s="19"/>
      <c r="PAN5" s="19"/>
      <c r="PAR5" s="19"/>
      <c r="PAV5" s="19"/>
      <c r="PAZ5" s="19"/>
      <c r="PBD5" s="19"/>
      <c r="PBH5" s="19"/>
      <c r="PBL5" s="19"/>
      <c r="PBP5" s="19"/>
      <c r="PBT5" s="19"/>
      <c r="PBX5" s="19"/>
      <c r="PCB5" s="19"/>
      <c r="PCF5" s="19"/>
      <c r="PCJ5" s="19"/>
      <c r="PCN5" s="19"/>
      <c r="PCR5" s="19"/>
      <c r="PCV5" s="19"/>
      <c r="PCZ5" s="19"/>
      <c r="PDD5" s="19"/>
      <c r="PDH5" s="19"/>
      <c r="PDL5" s="19"/>
      <c r="PDP5" s="19"/>
      <c r="PDT5" s="19"/>
      <c r="PDX5" s="19"/>
      <c r="PEB5" s="19"/>
      <c r="PEF5" s="19"/>
      <c r="PEJ5" s="19"/>
      <c r="PEN5" s="19"/>
      <c r="PER5" s="19"/>
      <c r="PEV5" s="19"/>
      <c r="PEZ5" s="19"/>
      <c r="PFD5" s="19"/>
      <c r="PFH5" s="19"/>
      <c r="PFL5" s="19"/>
      <c r="PFP5" s="19"/>
      <c r="PFT5" s="19"/>
      <c r="PFX5" s="19"/>
      <c r="PGB5" s="19"/>
      <c r="PGF5" s="19"/>
      <c r="PGJ5" s="19"/>
      <c r="PGN5" s="19"/>
      <c r="PGR5" s="19"/>
      <c r="PGV5" s="19"/>
      <c r="PGZ5" s="19"/>
      <c r="PHD5" s="19"/>
      <c r="PHH5" s="19"/>
      <c r="PHL5" s="19"/>
      <c r="PHP5" s="19"/>
      <c r="PHT5" s="19"/>
      <c r="PHX5" s="19"/>
      <c r="PIB5" s="19"/>
      <c r="PIF5" s="19"/>
      <c r="PIJ5" s="19"/>
      <c r="PIN5" s="19"/>
      <c r="PIR5" s="19"/>
      <c r="PIV5" s="19"/>
      <c r="PIZ5" s="19"/>
      <c r="PJD5" s="19"/>
      <c r="PJH5" s="19"/>
      <c r="PJL5" s="19"/>
      <c r="PJP5" s="19"/>
      <c r="PJT5" s="19"/>
      <c r="PJX5" s="19"/>
      <c r="PKB5" s="19"/>
      <c r="PKF5" s="19"/>
      <c r="PKJ5" s="19"/>
      <c r="PKN5" s="19"/>
      <c r="PKR5" s="19"/>
      <c r="PKV5" s="19"/>
      <c r="PKZ5" s="19"/>
      <c r="PLD5" s="19"/>
      <c r="PLH5" s="19"/>
      <c r="PLL5" s="19"/>
      <c r="PLP5" s="19"/>
      <c r="PLT5" s="19"/>
      <c r="PLX5" s="19"/>
      <c r="PMB5" s="19"/>
      <c r="PMF5" s="19"/>
      <c r="PMJ5" s="19"/>
      <c r="PMN5" s="19"/>
      <c r="PMR5" s="19"/>
      <c r="PMV5" s="19"/>
      <c r="PMZ5" s="19"/>
      <c r="PND5" s="19"/>
      <c r="PNH5" s="19"/>
      <c r="PNL5" s="19"/>
      <c r="PNP5" s="19"/>
      <c r="PNT5" s="19"/>
      <c r="PNX5" s="19"/>
      <c r="POB5" s="19"/>
      <c r="POF5" s="19"/>
      <c r="POJ5" s="19"/>
      <c r="PON5" s="19"/>
      <c r="POR5" s="19"/>
      <c r="POV5" s="19"/>
      <c r="POZ5" s="19"/>
      <c r="PPD5" s="19"/>
      <c r="PPH5" s="19"/>
      <c r="PPL5" s="19"/>
      <c r="PPP5" s="19"/>
      <c r="PPT5" s="19"/>
      <c r="PPX5" s="19"/>
      <c r="PQB5" s="19"/>
      <c r="PQF5" s="19"/>
      <c r="PQJ5" s="19"/>
      <c r="PQN5" s="19"/>
      <c r="PQR5" s="19"/>
      <c r="PQV5" s="19"/>
      <c r="PQZ5" s="19"/>
      <c r="PRD5" s="19"/>
      <c r="PRH5" s="19"/>
      <c r="PRL5" s="19"/>
      <c r="PRP5" s="19"/>
      <c r="PRT5" s="19"/>
      <c r="PRX5" s="19"/>
      <c r="PSB5" s="19"/>
      <c r="PSF5" s="19"/>
      <c r="PSJ5" s="19"/>
      <c r="PSN5" s="19"/>
      <c r="PSR5" s="19"/>
      <c r="PSV5" s="19"/>
      <c r="PSZ5" s="19"/>
      <c r="PTD5" s="19"/>
      <c r="PTH5" s="19"/>
      <c r="PTL5" s="19"/>
      <c r="PTP5" s="19"/>
      <c r="PTT5" s="19"/>
      <c r="PTX5" s="19"/>
      <c r="PUB5" s="19"/>
      <c r="PUF5" s="19"/>
      <c r="PUJ5" s="19"/>
      <c r="PUN5" s="19"/>
      <c r="PUR5" s="19"/>
      <c r="PUV5" s="19"/>
      <c r="PUZ5" s="19"/>
      <c r="PVD5" s="19"/>
      <c r="PVH5" s="19"/>
      <c r="PVL5" s="19"/>
      <c r="PVP5" s="19"/>
      <c r="PVT5" s="19"/>
      <c r="PVX5" s="19"/>
      <c r="PWB5" s="19"/>
      <c r="PWF5" s="19"/>
      <c r="PWJ5" s="19"/>
      <c r="PWN5" s="19"/>
      <c r="PWR5" s="19"/>
      <c r="PWV5" s="19"/>
      <c r="PWZ5" s="19"/>
      <c r="PXD5" s="19"/>
      <c r="PXH5" s="19"/>
      <c r="PXL5" s="19"/>
      <c r="PXP5" s="19"/>
      <c r="PXT5" s="19"/>
      <c r="PXX5" s="19"/>
      <c r="PYB5" s="19"/>
      <c r="PYF5" s="19"/>
      <c r="PYJ5" s="19"/>
      <c r="PYN5" s="19"/>
      <c r="PYR5" s="19"/>
      <c r="PYV5" s="19"/>
      <c r="PYZ5" s="19"/>
      <c r="PZD5" s="19"/>
      <c r="PZH5" s="19"/>
      <c r="PZL5" s="19"/>
      <c r="PZP5" s="19"/>
      <c r="PZT5" s="19"/>
      <c r="PZX5" s="19"/>
      <c r="QAB5" s="19"/>
      <c r="QAF5" s="19"/>
      <c r="QAJ5" s="19"/>
      <c r="QAN5" s="19"/>
      <c r="QAR5" s="19"/>
      <c r="QAV5" s="19"/>
      <c r="QAZ5" s="19"/>
      <c r="QBD5" s="19"/>
      <c r="QBH5" s="19"/>
      <c r="QBL5" s="19"/>
      <c r="QBP5" s="19"/>
      <c r="QBT5" s="19"/>
      <c r="QBX5" s="19"/>
      <c r="QCB5" s="19"/>
      <c r="QCF5" s="19"/>
      <c r="QCJ5" s="19"/>
      <c r="QCN5" s="19"/>
      <c r="QCR5" s="19"/>
      <c r="QCV5" s="19"/>
      <c r="QCZ5" s="19"/>
      <c r="QDD5" s="19"/>
      <c r="QDH5" s="19"/>
      <c r="QDL5" s="19"/>
      <c r="QDP5" s="19"/>
      <c r="QDT5" s="19"/>
      <c r="QDX5" s="19"/>
      <c r="QEB5" s="19"/>
      <c r="QEF5" s="19"/>
      <c r="QEJ5" s="19"/>
      <c r="QEN5" s="19"/>
      <c r="QER5" s="19"/>
      <c r="QEV5" s="19"/>
      <c r="QEZ5" s="19"/>
      <c r="QFD5" s="19"/>
      <c r="QFH5" s="19"/>
      <c r="QFL5" s="19"/>
      <c r="QFP5" s="19"/>
      <c r="QFT5" s="19"/>
      <c r="QFX5" s="19"/>
      <c r="QGB5" s="19"/>
      <c r="QGF5" s="19"/>
      <c r="QGJ5" s="19"/>
      <c r="QGN5" s="19"/>
      <c r="QGR5" s="19"/>
      <c r="QGV5" s="19"/>
      <c r="QGZ5" s="19"/>
      <c r="QHD5" s="19"/>
      <c r="QHH5" s="19"/>
      <c r="QHL5" s="19"/>
      <c r="QHP5" s="19"/>
      <c r="QHT5" s="19"/>
      <c r="QHX5" s="19"/>
      <c r="QIB5" s="19"/>
      <c r="QIF5" s="19"/>
      <c r="QIJ5" s="19"/>
      <c r="QIN5" s="19"/>
      <c r="QIR5" s="19"/>
      <c r="QIV5" s="19"/>
      <c r="QIZ5" s="19"/>
      <c r="QJD5" s="19"/>
      <c r="QJH5" s="19"/>
      <c r="QJL5" s="19"/>
      <c r="QJP5" s="19"/>
      <c r="QJT5" s="19"/>
      <c r="QJX5" s="19"/>
      <c r="QKB5" s="19"/>
      <c r="QKF5" s="19"/>
      <c r="QKJ5" s="19"/>
      <c r="QKN5" s="19"/>
      <c r="QKR5" s="19"/>
      <c r="QKV5" s="19"/>
      <c r="QKZ5" s="19"/>
      <c r="QLD5" s="19"/>
      <c r="QLH5" s="19"/>
      <c r="QLL5" s="19"/>
      <c r="QLP5" s="19"/>
      <c r="QLT5" s="19"/>
      <c r="QLX5" s="19"/>
      <c r="QMB5" s="19"/>
      <c r="QMF5" s="19"/>
      <c r="QMJ5" s="19"/>
      <c r="QMN5" s="19"/>
      <c r="QMR5" s="19"/>
      <c r="QMV5" s="19"/>
      <c r="QMZ5" s="19"/>
      <c r="QND5" s="19"/>
      <c r="QNH5" s="19"/>
      <c r="QNL5" s="19"/>
      <c r="QNP5" s="19"/>
      <c r="QNT5" s="19"/>
      <c r="QNX5" s="19"/>
      <c r="QOB5" s="19"/>
      <c r="QOF5" s="19"/>
      <c r="QOJ5" s="19"/>
      <c r="QON5" s="19"/>
      <c r="QOR5" s="19"/>
      <c r="QOV5" s="19"/>
      <c r="QOZ5" s="19"/>
      <c r="QPD5" s="19"/>
      <c r="QPH5" s="19"/>
      <c r="QPL5" s="19"/>
      <c r="QPP5" s="19"/>
      <c r="QPT5" s="19"/>
      <c r="QPX5" s="19"/>
      <c r="QQB5" s="19"/>
      <c r="QQF5" s="19"/>
      <c r="QQJ5" s="19"/>
      <c r="QQN5" s="19"/>
      <c r="QQR5" s="19"/>
      <c r="QQV5" s="19"/>
      <c r="QQZ5" s="19"/>
      <c r="QRD5" s="19"/>
      <c r="QRH5" s="19"/>
      <c r="QRL5" s="19"/>
      <c r="QRP5" s="19"/>
      <c r="QRT5" s="19"/>
      <c r="QRX5" s="19"/>
      <c r="QSB5" s="19"/>
      <c r="QSF5" s="19"/>
      <c r="QSJ5" s="19"/>
      <c r="QSN5" s="19"/>
      <c r="QSR5" s="19"/>
      <c r="QSV5" s="19"/>
      <c r="QSZ5" s="19"/>
      <c r="QTD5" s="19"/>
      <c r="QTH5" s="19"/>
      <c r="QTL5" s="19"/>
      <c r="QTP5" s="19"/>
      <c r="QTT5" s="19"/>
      <c r="QTX5" s="19"/>
      <c r="QUB5" s="19"/>
      <c r="QUF5" s="19"/>
      <c r="QUJ5" s="19"/>
      <c r="QUN5" s="19"/>
      <c r="QUR5" s="19"/>
      <c r="QUV5" s="19"/>
      <c r="QUZ5" s="19"/>
      <c r="QVD5" s="19"/>
      <c r="QVH5" s="19"/>
      <c r="QVL5" s="19"/>
      <c r="QVP5" s="19"/>
      <c r="QVT5" s="19"/>
      <c r="QVX5" s="19"/>
      <c r="QWB5" s="19"/>
      <c r="QWF5" s="19"/>
      <c r="QWJ5" s="19"/>
      <c r="QWN5" s="19"/>
      <c r="QWR5" s="19"/>
      <c r="QWV5" s="19"/>
      <c r="QWZ5" s="19"/>
      <c r="QXD5" s="19"/>
      <c r="QXH5" s="19"/>
      <c r="QXL5" s="19"/>
      <c r="QXP5" s="19"/>
      <c r="QXT5" s="19"/>
      <c r="QXX5" s="19"/>
      <c r="QYB5" s="19"/>
      <c r="QYF5" s="19"/>
      <c r="QYJ5" s="19"/>
      <c r="QYN5" s="19"/>
      <c r="QYR5" s="19"/>
      <c r="QYV5" s="19"/>
      <c r="QYZ5" s="19"/>
      <c r="QZD5" s="19"/>
      <c r="QZH5" s="19"/>
      <c r="QZL5" s="19"/>
      <c r="QZP5" s="19"/>
      <c r="QZT5" s="19"/>
      <c r="QZX5" s="19"/>
      <c r="RAB5" s="19"/>
      <c r="RAF5" s="19"/>
      <c r="RAJ5" s="19"/>
      <c r="RAN5" s="19"/>
      <c r="RAR5" s="19"/>
      <c r="RAV5" s="19"/>
      <c r="RAZ5" s="19"/>
      <c r="RBD5" s="19"/>
      <c r="RBH5" s="19"/>
      <c r="RBL5" s="19"/>
      <c r="RBP5" s="19"/>
      <c r="RBT5" s="19"/>
      <c r="RBX5" s="19"/>
      <c r="RCB5" s="19"/>
      <c r="RCF5" s="19"/>
      <c r="RCJ5" s="19"/>
      <c r="RCN5" s="19"/>
      <c r="RCR5" s="19"/>
      <c r="RCV5" s="19"/>
      <c r="RCZ5" s="19"/>
      <c r="RDD5" s="19"/>
      <c r="RDH5" s="19"/>
      <c r="RDL5" s="19"/>
      <c r="RDP5" s="19"/>
      <c r="RDT5" s="19"/>
      <c r="RDX5" s="19"/>
      <c r="REB5" s="19"/>
      <c r="REF5" s="19"/>
      <c r="REJ5" s="19"/>
      <c r="REN5" s="19"/>
      <c r="RER5" s="19"/>
      <c r="REV5" s="19"/>
      <c r="REZ5" s="19"/>
      <c r="RFD5" s="19"/>
      <c r="RFH5" s="19"/>
      <c r="RFL5" s="19"/>
      <c r="RFP5" s="19"/>
      <c r="RFT5" s="19"/>
      <c r="RFX5" s="19"/>
      <c r="RGB5" s="19"/>
      <c r="RGF5" s="19"/>
      <c r="RGJ5" s="19"/>
      <c r="RGN5" s="19"/>
      <c r="RGR5" s="19"/>
      <c r="RGV5" s="19"/>
      <c r="RGZ5" s="19"/>
      <c r="RHD5" s="19"/>
      <c r="RHH5" s="19"/>
      <c r="RHL5" s="19"/>
      <c r="RHP5" s="19"/>
      <c r="RHT5" s="19"/>
      <c r="RHX5" s="19"/>
      <c r="RIB5" s="19"/>
      <c r="RIF5" s="19"/>
      <c r="RIJ5" s="19"/>
      <c r="RIN5" s="19"/>
      <c r="RIR5" s="19"/>
      <c r="RIV5" s="19"/>
      <c r="RIZ5" s="19"/>
      <c r="RJD5" s="19"/>
      <c r="RJH5" s="19"/>
      <c r="RJL5" s="19"/>
      <c r="RJP5" s="19"/>
      <c r="RJT5" s="19"/>
      <c r="RJX5" s="19"/>
      <c r="RKB5" s="19"/>
      <c r="RKF5" s="19"/>
      <c r="RKJ5" s="19"/>
      <c r="RKN5" s="19"/>
      <c r="RKR5" s="19"/>
      <c r="RKV5" s="19"/>
      <c r="RKZ5" s="19"/>
      <c r="RLD5" s="19"/>
      <c r="RLH5" s="19"/>
      <c r="RLL5" s="19"/>
      <c r="RLP5" s="19"/>
      <c r="RLT5" s="19"/>
      <c r="RLX5" s="19"/>
      <c r="RMB5" s="19"/>
      <c r="RMF5" s="19"/>
      <c r="RMJ5" s="19"/>
      <c r="RMN5" s="19"/>
      <c r="RMR5" s="19"/>
      <c r="RMV5" s="19"/>
      <c r="RMZ5" s="19"/>
      <c r="RND5" s="19"/>
      <c r="RNH5" s="19"/>
      <c r="RNL5" s="19"/>
      <c r="RNP5" s="19"/>
      <c r="RNT5" s="19"/>
      <c r="RNX5" s="19"/>
      <c r="ROB5" s="19"/>
      <c r="ROF5" s="19"/>
      <c r="ROJ5" s="19"/>
      <c r="RON5" s="19"/>
      <c r="ROR5" s="19"/>
      <c r="ROV5" s="19"/>
      <c r="ROZ5" s="19"/>
      <c r="RPD5" s="19"/>
      <c r="RPH5" s="19"/>
      <c r="RPL5" s="19"/>
      <c r="RPP5" s="19"/>
      <c r="RPT5" s="19"/>
      <c r="RPX5" s="19"/>
      <c r="RQB5" s="19"/>
      <c r="RQF5" s="19"/>
      <c r="RQJ5" s="19"/>
      <c r="RQN5" s="19"/>
      <c r="RQR5" s="19"/>
      <c r="RQV5" s="19"/>
      <c r="RQZ5" s="19"/>
      <c r="RRD5" s="19"/>
      <c r="RRH5" s="19"/>
      <c r="RRL5" s="19"/>
      <c r="RRP5" s="19"/>
      <c r="RRT5" s="19"/>
      <c r="RRX5" s="19"/>
      <c r="RSB5" s="19"/>
      <c r="RSF5" s="19"/>
      <c r="RSJ5" s="19"/>
      <c r="RSN5" s="19"/>
      <c r="RSR5" s="19"/>
      <c r="RSV5" s="19"/>
      <c r="RSZ5" s="19"/>
      <c r="RTD5" s="19"/>
      <c r="RTH5" s="19"/>
      <c r="RTL5" s="19"/>
      <c r="RTP5" s="19"/>
      <c r="RTT5" s="19"/>
      <c r="RTX5" s="19"/>
      <c r="RUB5" s="19"/>
      <c r="RUF5" s="19"/>
      <c r="RUJ5" s="19"/>
      <c r="RUN5" s="19"/>
      <c r="RUR5" s="19"/>
      <c r="RUV5" s="19"/>
      <c r="RUZ5" s="19"/>
      <c r="RVD5" s="19"/>
      <c r="RVH5" s="19"/>
      <c r="RVL5" s="19"/>
      <c r="RVP5" s="19"/>
      <c r="RVT5" s="19"/>
      <c r="RVX5" s="19"/>
      <c r="RWB5" s="19"/>
      <c r="RWF5" s="19"/>
      <c r="RWJ5" s="19"/>
      <c r="RWN5" s="19"/>
      <c r="RWR5" s="19"/>
      <c r="RWV5" s="19"/>
      <c r="RWZ5" s="19"/>
      <c r="RXD5" s="19"/>
      <c r="RXH5" s="19"/>
      <c r="RXL5" s="19"/>
      <c r="RXP5" s="19"/>
      <c r="RXT5" s="19"/>
      <c r="RXX5" s="19"/>
      <c r="RYB5" s="19"/>
      <c r="RYF5" s="19"/>
      <c r="RYJ5" s="19"/>
      <c r="RYN5" s="19"/>
      <c r="RYR5" s="19"/>
      <c r="RYV5" s="19"/>
      <c r="RYZ5" s="19"/>
      <c r="RZD5" s="19"/>
      <c r="RZH5" s="19"/>
      <c r="RZL5" s="19"/>
      <c r="RZP5" s="19"/>
      <c r="RZT5" s="19"/>
      <c r="RZX5" s="19"/>
      <c r="SAB5" s="19"/>
      <c r="SAF5" s="19"/>
      <c r="SAJ5" s="19"/>
      <c r="SAN5" s="19"/>
      <c r="SAR5" s="19"/>
      <c r="SAV5" s="19"/>
      <c r="SAZ5" s="19"/>
      <c r="SBD5" s="19"/>
      <c r="SBH5" s="19"/>
      <c r="SBL5" s="19"/>
      <c r="SBP5" s="19"/>
      <c r="SBT5" s="19"/>
      <c r="SBX5" s="19"/>
      <c r="SCB5" s="19"/>
      <c r="SCF5" s="19"/>
      <c r="SCJ5" s="19"/>
      <c r="SCN5" s="19"/>
      <c r="SCR5" s="19"/>
      <c r="SCV5" s="19"/>
      <c r="SCZ5" s="19"/>
      <c r="SDD5" s="19"/>
      <c r="SDH5" s="19"/>
      <c r="SDL5" s="19"/>
      <c r="SDP5" s="19"/>
      <c r="SDT5" s="19"/>
      <c r="SDX5" s="19"/>
      <c r="SEB5" s="19"/>
      <c r="SEF5" s="19"/>
      <c r="SEJ5" s="19"/>
      <c r="SEN5" s="19"/>
      <c r="SER5" s="19"/>
      <c r="SEV5" s="19"/>
      <c r="SEZ5" s="19"/>
      <c r="SFD5" s="19"/>
      <c r="SFH5" s="19"/>
      <c r="SFL5" s="19"/>
      <c r="SFP5" s="19"/>
      <c r="SFT5" s="19"/>
      <c r="SFX5" s="19"/>
      <c r="SGB5" s="19"/>
      <c r="SGF5" s="19"/>
      <c r="SGJ5" s="19"/>
      <c r="SGN5" s="19"/>
      <c r="SGR5" s="19"/>
      <c r="SGV5" s="19"/>
      <c r="SGZ5" s="19"/>
      <c r="SHD5" s="19"/>
      <c r="SHH5" s="19"/>
      <c r="SHL5" s="19"/>
      <c r="SHP5" s="19"/>
      <c r="SHT5" s="19"/>
      <c r="SHX5" s="19"/>
      <c r="SIB5" s="19"/>
      <c r="SIF5" s="19"/>
      <c r="SIJ5" s="19"/>
      <c r="SIN5" s="19"/>
      <c r="SIR5" s="19"/>
      <c r="SIV5" s="19"/>
      <c r="SIZ5" s="19"/>
      <c r="SJD5" s="19"/>
      <c r="SJH5" s="19"/>
      <c r="SJL5" s="19"/>
      <c r="SJP5" s="19"/>
      <c r="SJT5" s="19"/>
      <c r="SJX5" s="19"/>
      <c r="SKB5" s="19"/>
      <c r="SKF5" s="19"/>
      <c r="SKJ5" s="19"/>
      <c r="SKN5" s="19"/>
      <c r="SKR5" s="19"/>
      <c r="SKV5" s="19"/>
      <c r="SKZ5" s="19"/>
      <c r="SLD5" s="19"/>
      <c r="SLH5" s="19"/>
      <c r="SLL5" s="19"/>
      <c r="SLP5" s="19"/>
      <c r="SLT5" s="19"/>
      <c r="SLX5" s="19"/>
      <c r="SMB5" s="19"/>
      <c r="SMF5" s="19"/>
      <c r="SMJ5" s="19"/>
      <c r="SMN5" s="19"/>
      <c r="SMR5" s="19"/>
      <c r="SMV5" s="19"/>
      <c r="SMZ5" s="19"/>
      <c r="SND5" s="19"/>
      <c r="SNH5" s="19"/>
      <c r="SNL5" s="19"/>
      <c r="SNP5" s="19"/>
      <c r="SNT5" s="19"/>
      <c r="SNX5" s="19"/>
      <c r="SOB5" s="19"/>
      <c r="SOF5" s="19"/>
      <c r="SOJ5" s="19"/>
      <c r="SON5" s="19"/>
      <c r="SOR5" s="19"/>
      <c r="SOV5" s="19"/>
      <c r="SOZ5" s="19"/>
      <c r="SPD5" s="19"/>
      <c r="SPH5" s="19"/>
      <c r="SPL5" s="19"/>
      <c r="SPP5" s="19"/>
      <c r="SPT5" s="19"/>
      <c r="SPX5" s="19"/>
      <c r="SQB5" s="19"/>
      <c r="SQF5" s="19"/>
      <c r="SQJ5" s="19"/>
      <c r="SQN5" s="19"/>
      <c r="SQR5" s="19"/>
      <c r="SQV5" s="19"/>
      <c r="SQZ5" s="19"/>
      <c r="SRD5" s="19"/>
      <c r="SRH5" s="19"/>
      <c r="SRL5" s="19"/>
      <c r="SRP5" s="19"/>
      <c r="SRT5" s="19"/>
      <c r="SRX5" s="19"/>
      <c r="SSB5" s="19"/>
      <c r="SSF5" s="19"/>
      <c r="SSJ5" s="19"/>
      <c r="SSN5" s="19"/>
      <c r="SSR5" s="19"/>
      <c r="SSV5" s="19"/>
      <c r="SSZ5" s="19"/>
      <c r="STD5" s="19"/>
      <c r="STH5" s="19"/>
      <c r="STL5" s="19"/>
      <c r="STP5" s="19"/>
      <c r="STT5" s="19"/>
      <c r="STX5" s="19"/>
      <c r="SUB5" s="19"/>
      <c r="SUF5" s="19"/>
      <c r="SUJ5" s="19"/>
      <c r="SUN5" s="19"/>
      <c r="SUR5" s="19"/>
      <c r="SUV5" s="19"/>
      <c r="SUZ5" s="19"/>
      <c r="SVD5" s="19"/>
      <c r="SVH5" s="19"/>
      <c r="SVL5" s="19"/>
      <c r="SVP5" s="19"/>
      <c r="SVT5" s="19"/>
      <c r="SVX5" s="19"/>
      <c r="SWB5" s="19"/>
      <c r="SWF5" s="19"/>
      <c r="SWJ5" s="19"/>
      <c r="SWN5" s="19"/>
      <c r="SWR5" s="19"/>
      <c r="SWV5" s="19"/>
      <c r="SWZ5" s="19"/>
      <c r="SXD5" s="19"/>
      <c r="SXH5" s="19"/>
      <c r="SXL5" s="19"/>
      <c r="SXP5" s="19"/>
      <c r="SXT5" s="19"/>
      <c r="SXX5" s="19"/>
      <c r="SYB5" s="19"/>
      <c r="SYF5" s="19"/>
      <c r="SYJ5" s="19"/>
      <c r="SYN5" s="19"/>
      <c r="SYR5" s="19"/>
      <c r="SYV5" s="19"/>
      <c r="SYZ5" s="19"/>
      <c r="SZD5" s="19"/>
      <c r="SZH5" s="19"/>
      <c r="SZL5" s="19"/>
      <c r="SZP5" s="19"/>
      <c r="SZT5" s="19"/>
      <c r="SZX5" s="19"/>
      <c r="TAB5" s="19"/>
      <c r="TAF5" s="19"/>
      <c r="TAJ5" s="19"/>
      <c r="TAN5" s="19"/>
      <c r="TAR5" s="19"/>
      <c r="TAV5" s="19"/>
      <c r="TAZ5" s="19"/>
      <c r="TBD5" s="19"/>
      <c r="TBH5" s="19"/>
      <c r="TBL5" s="19"/>
      <c r="TBP5" s="19"/>
      <c r="TBT5" s="19"/>
      <c r="TBX5" s="19"/>
      <c r="TCB5" s="19"/>
      <c r="TCF5" s="19"/>
      <c r="TCJ5" s="19"/>
      <c r="TCN5" s="19"/>
      <c r="TCR5" s="19"/>
      <c r="TCV5" s="19"/>
      <c r="TCZ5" s="19"/>
      <c r="TDD5" s="19"/>
      <c r="TDH5" s="19"/>
      <c r="TDL5" s="19"/>
      <c r="TDP5" s="19"/>
      <c r="TDT5" s="19"/>
      <c r="TDX5" s="19"/>
      <c r="TEB5" s="19"/>
      <c r="TEF5" s="19"/>
      <c r="TEJ5" s="19"/>
      <c r="TEN5" s="19"/>
      <c r="TER5" s="19"/>
      <c r="TEV5" s="19"/>
      <c r="TEZ5" s="19"/>
      <c r="TFD5" s="19"/>
      <c r="TFH5" s="19"/>
      <c r="TFL5" s="19"/>
      <c r="TFP5" s="19"/>
      <c r="TFT5" s="19"/>
      <c r="TFX5" s="19"/>
      <c r="TGB5" s="19"/>
      <c r="TGF5" s="19"/>
      <c r="TGJ5" s="19"/>
      <c r="TGN5" s="19"/>
      <c r="TGR5" s="19"/>
      <c r="TGV5" s="19"/>
      <c r="TGZ5" s="19"/>
      <c r="THD5" s="19"/>
      <c r="THH5" s="19"/>
      <c r="THL5" s="19"/>
      <c r="THP5" s="19"/>
      <c r="THT5" s="19"/>
      <c r="THX5" s="19"/>
      <c r="TIB5" s="19"/>
      <c r="TIF5" s="19"/>
      <c r="TIJ5" s="19"/>
      <c r="TIN5" s="19"/>
      <c r="TIR5" s="19"/>
      <c r="TIV5" s="19"/>
      <c r="TIZ5" s="19"/>
      <c r="TJD5" s="19"/>
      <c r="TJH5" s="19"/>
      <c r="TJL5" s="19"/>
      <c r="TJP5" s="19"/>
      <c r="TJT5" s="19"/>
      <c r="TJX5" s="19"/>
      <c r="TKB5" s="19"/>
      <c r="TKF5" s="19"/>
      <c r="TKJ5" s="19"/>
      <c r="TKN5" s="19"/>
      <c r="TKR5" s="19"/>
      <c r="TKV5" s="19"/>
      <c r="TKZ5" s="19"/>
      <c r="TLD5" s="19"/>
      <c r="TLH5" s="19"/>
      <c r="TLL5" s="19"/>
      <c r="TLP5" s="19"/>
      <c r="TLT5" s="19"/>
      <c r="TLX5" s="19"/>
      <c r="TMB5" s="19"/>
      <c r="TMF5" s="19"/>
      <c r="TMJ5" s="19"/>
      <c r="TMN5" s="19"/>
      <c r="TMR5" s="19"/>
      <c r="TMV5" s="19"/>
      <c r="TMZ5" s="19"/>
      <c r="TND5" s="19"/>
      <c r="TNH5" s="19"/>
      <c r="TNL5" s="19"/>
      <c r="TNP5" s="19"/>
      <c r="TNT5" s="19"/>
      <c r="TNX5" s="19"/>
      <c r="TOB5" s="19"/>
      <c r="TOF5" s="19"/>
      <c r="TOJ5" s="19"/>
      <c r="TON5" s="19"/>
      <c r="TOR5" s="19"/>
      <c r="TOV5" s="19"/>
      <c r="TOZ5" s="19"/>
      <c r="TPD5" s="19"/>
      <c r="TPH5" s="19"/>
      <c r="TPL5" s="19"/>
      <c r="TPP5" s="19"/>
      <c r="TPT5" s="19"/>
      <c r="TPX5" s="19"/>
      <c r="TQB5" s="19"/>
      <c r="TQF5" s="19"/>
      <c r="TQJ5" s="19"/>
      <c r="TQN5" s="19"/>
      <c r="TQR5" s="19"/>
      <c r="TQV5" s="19"/>
      <c r="TQZ5" s="19"/>
      <c r="TRD5" s="19"/>
      <c r="TRH5" s="19"/>
      <c r="TRL5" s="19"/>
      <c r="TRP5" s="19"/>
      <c r="TRT5" s="19"/>
      <c r="TRX5" s="19"/>
      <c r="TSB5" s="19"/>
      <c r="TSF5" s="19"/>
      <c r="TSJ5" s="19"/>
      <c r="TSN5" s="19"/>
      <c r="TSR5" s="19"/>
      <c r="TSV5" s="19"/>
      <c r="TSZ5" s="19"/>
      <c r="TTD5" s="19"/>
      <c r="TTH5" s="19"/>
      <c r="TTL5" s="19"/>
      <c r="TTP5" s="19"/>
      <c r="TTT5" s="19"/>
      <c r="TTX5" s="19"/>
      <c r="TUB5" s="19"/>
      <c r="TUF5" s="19"/>
      <c r="TUJ5" s="19"/>
      <c r="TUN5" s="19"/>
      <c r="TUR5" s="19"/>
      <c r="TUV5" s="19"/>
      <c r="TUZ5" s="19"/>
      <c r="TVD5" s="19"/>
      <c r="TVH5" s="19"/>
      <c r="TVL5" s="19"/>
      <c r="TVP5" s="19"/>
      <c r="TVT5" s="19"/>
      <c r="TVX5" s="19"/>
      <c r="TWB5" s="19"/>
      <c r="TWF5" s="19"/>
      <c r="TWJ5" s="19"/>
      <c r="TWN5" s="19"/>
      <c r="TWR5" s="19"/>
      <c r="TWV5" s="19"/>
      <c r="TWZ5" s="19"/>
      <c r="TXD5" s="19"/>
      <c r="TXH5" s="19"/>
      <c r="TXL5" s="19"/>
      <c r="TXP5" s="19"/>
      <c r="TXT5" s="19"/>
      <c r="TXX5" s="19"/>
      <c r="TYB5" s="19"/>
      <c r="TYF5" s="19"/>
      <c r="TYJ5" s="19"/>
      <c r="TYN5" s="19"/>
      <c r="TYR5" s="19"/>
      <c r="TYV5" s="19"/>
      <c r="TYZ5" s="19"/>
      <c r="TZD5" s="19"/>
      <c r="TZH5" s="19"/>
      <c r="TZL5" s="19"/>
      <c r="TZP5" s="19"/>
      <c r="TZT5" s="19"/>
      <c r="TZX5" s="19"/>
      <c r="UAB5" s="19"/>
      <c r="UAF5" s="19"/>
      <c r="UAJ5" s="19"/>
      <c r="UAN5" s="19"/>
      <c r="UAR5" s="19"/>
      <c r="UAV5" s="19"/>
      <c r="UAZ5" s="19"/>
      <c r="UBD5" s="19"/>
      <c r="UBH5" s="19"/>
      <c r="UBL5" s="19"/>
      <c r="UBP5" s="19"/>
      <c r="UBT5" s="19"/>
      <c r="UBX5" s="19"/>
      <c r="UCB5" s="19"/>
      <c r="UCF5" s="19"/>
      <c r="UCJ5" s="19"/>
      <c r="UCN5" s="19"/>
      <c r="UCR5" s="19"/>
      <c r="UCV5" s="19"/>
      <c r="UCZ5" s="19"/>
      <c r="UDD5" s="19"/>
      <c r="UDH5" s="19"/>
      <c r="UDL5" s="19"/>
      <c r="UDP5" s="19"/>
      <c r="UDT5" s="19"/>
      <c r="UDX5" s="19"/>
      <c r="UEB5" s="19"/>
      <c r="UEF5" s="19"/>
      <c r="UEJ5" s="19"/>
      <c r="UEN5" s="19"/>
      <c r="UER5" s="19"/>
      <c r="UEV5" s="19"/>
      <c r="UEZ5" s="19"/>
      <c r="UFD5" s="19"/>
      <c r="UFH5" s="19"/>
      <c r="UFL5" s="19"/>
      <c r="UFP5" s="19"/>
      <c r="UFT5" s="19"/>
      <c r="UFX5" s="19"/>
      <c r="UGB5" s="19"/>
      <c r="UGF5" s="19"/>
      <c r="UGJ5" s="19"/>
      <c r="UGN5" s="19"/>
      <c r="UGR5" s="19"/>
      <c r="UGV5" s="19"/>
      <c r="UGZ5" s="19"/>
      <c r="UHD5" s="19"/>
      <c r="UHH5" s="19"/>
      <c r="UHL5" s="19"/>
      <c r="UHP5" s="19"/>
      <c r="UHT5" s="19"/>
      <c r="UHX5" s="19"/>
      <c r="UIB5" s="19"/>
      <c r="UIF5" s="19"/>
      <c r="UIJ5" s="19"/>
      <c r="UIN5" s="19"/>
      <c r="UIR5" s="19"/>
      <c r="UIV5" s="19"/>
      <c r="UIZ5" s="19"/>
      <c r="UJD5" s="19"/>
      <c r="UJH5" s="19"/>
      <c r="UJL5" s="19"/>
      <c r="UJP5" s="19"/>
      <c r="UJT5" s="19"/>
      <c r="UJX5" s="19"/>
      <c r="UKB5" s="19"/>
      <c r="UKF5" s="19"/>
      <c r="UKJ5" s="19"/>
      <c r="UKN5" s="19"/>
      <c r="UKR5" s="19"/>
      <c r="UKV5" s="19"/>
      <c r="UKZ5" s="19"/>
      <c r="ULD5" s="19"/>
      <c r="ULH5" s="19"/>
      <c r="ULL5" s="19"/>
      <c r="ULP5" s="19"/>
      <c r="ULT5" s="19"/>
      <c r="ULX5" s="19"/>
      <c r="UMB5" s="19"/>
      <c r="UMF5" s="19"/>
      <c r="UMJ5" s="19"/>
      <c r="UMN5" s="19"/>
      <c r="UMR5" s="19"/>
      <c r="UMV5" s="19"/>
      <c r="UMZ5" s="19"/>
      <c r="UND5" s="19"/>
      <c r="UNH5" s="19"/>
      <c r="UNL5" s="19"/>
      <c r="UNP5" s="19"/>
      <c r="UNT5" s="19"/>
      <c r="UNX5" s="19"/>
      <c r="UOB5" s="19"/>
      <c r="UOF5" s="19"/>
      <c r="UOJ5" s="19"/>
      <c r="UON5" s="19"/>
      <c r="UOR5" s="19"/>
      <c r="UOV5" s="19"/>
      <c r="UOZ5" s="19"/>
      <c r="UPD5" s="19"/>
      <c r="UPH5" s="19"/>
      <c r="UPL5" s="19"/>
      <c r="UPP5" s="19"/>
      <c r="UPT5" s="19"/>
      <c r="UPX5" s="19"/>
      <c r="UQB5" s="19"/>
      <c r="UQF5" s="19"/>
      <c r="UQJ5" s="19"/>
      <c r="UQN5" s="19"/>
      <c r="UQR5" s="19"/>
      <c r="UQV5" s="19"/>
      <c r="UQZ5" s="19"/>
      <c r="URD5" s="19"/>
      <c r="URH5" s="19"/>
      <c r="URL5" s="19"/>
      <c r="URP5" s="19"/>
      <c r="URT5" s="19"/>
      <c r="URX5" s="19"/>
      <c r="USB5" s="19"/>
      <c r="USF5" s="19"/>
      <c r="USJ5" s="19"/>
      <c r="USN5" s="19"/>
      <c r="USR5" s="19"/>
      <c r="USV5" s="19"/>
      <c r="USZ5" s="19"/>
      <c r="UTD5" s="19"/>
      <c r="UTH5" s="19"/>
      <c r="UTL5" s="19"/>
      <c r="UTP5" s="19"/>
      <c r="UTT5" s="19"/>
      <c r="UTX5" s="19"/>
      <c r="UUB5" s="19"/>
      <c r="UUF5" s="19"/>
      <c r="UUJ5" s="19"/>
      <c r="UUN5" s="19"/>
      <c r="UUR5" s="19"/>
      <c r="UUV5" s="19"/>
      <c r="UUZ5" s="19"/>
      <c r="UVD5" s="19"/>
      <c r="UVH5" s="19"/>
      <c r="UVL5" s="19"/>
      <c r="UVP5" s="19"/>
      <c r="UVT5" s="19"/>
      <c r="UVX5" s="19"/>
      <c r="UWB5" s="19"/>
      <c r="UWF5" s="19"/>
      <c r="UWJ5" s="19"/>
      <c r="UWN5" s="19"/>
      <c r="UWR5" s="19"/>
      <c r="UWV5" s="19"/>
      <c r="UWZ5" s="19"/>
      <c r="UXD5" s="19"/>
      <c r="UXH5" s="19"/>
      <c r="UXL5" s="19"/>
      <c r="UXP5" s="19"/>
      <c r="UXT5" s="19"/>
      <c r="UXX5" s="19"/>
      <c r="UYB5" s="19"/>
      <c r="UYF5" s="19"/>
      <c r="UYJ5" s="19"/>
      <c r="UYN5" s="19"/>
      <c r="UYR5" s="19"/>
      <c r="UYV5" s="19"/>
      <c r="UYZ5" s="19"/>
      <c r="UZD5" s="19"/>
      <c r="UZH5" s="19"/>
      <c r="UZL5" s="19"/>
      <c r="UZP5" s="19"/>
      <c r="UZT5" s="19"/>
      <c r="UZX5" s="19"/>
      <c r="VAB5" s="19"/>
      <c r="VAF5" s="19"/>
      <c r="VAJ5" s="19"/>
      <c r="VAN5" s="19"/>
      <c r="VAR5" s="19"/>
      <c r="VAV5" s="19"/>
      <c r="VAZ5" s="19"/>
      <c r="VBD5" s="19"/>
      <c r="VBH5" s="19"/>
      <c r="VBL5" s="19"/>
      <c r="VBP5" s="19"/>
      <c r="VBT5" s="19"/>
      <c r="VBX5" s="19"/>
      <c r="VCB5" s="19"/>
      <c r="VCF5" s="19"/>
      <c r="VCJ5" s="19"/>
      <c r="VCN5" s="19"/>
      <c r="VCR5" s="19"/>
      <c r="VCV5" s="19"/>
      <c r="VCZ5" s="19"/>
      <c r="VDD5" s="19"/>
      <c r="VDH5" s="19"/>
      <c r="VDL5" s="19"/>
      <c r="VDP5" s="19"/>
      <c r="VDT5" s="19"/>
      <c r="VDX5" s="19"/>
      <c r="VEB5" s="19"/>
      <c r="VEF5" s="19"/>
      <c r="VEJ5" s="19"/>
      <c r="VEN5" s="19"/>
      <c r="VER5" s="19"/>
      <c r="VEV5" s="19"/>
      <c r="VEZ5" s="19"/>
      <c r="VFD5" s="19"/>
      <c r="VFH5" s="19"/>
      <c r="VFL5" s="19"/>
      <c r="VFP5" s="19"/>
      <c r="VFT5" s="19"/>
      <c r="VFX5" s="19"/>
      <c r="VGB5" s="19"/>
      <c r="VGF5" s="19"/>
      <c r="VGJ5" s="19"/>
      <c r="VGN5" s="19"/>
      <c r="VGR5" s="19"/>
      <c r="VGV5" s="19"/>
      <c r="VGZ5" s="19"/>
      <c r="VHD5" s="19"/>
      <c r="VHH5" s="19"/>
      <c r="VHL5" s="19"/>
      <c r="VHP5" s="19"/>
      <c r="VHT5" s="19"/>
      <c r="VHX5" s="19"/>
      <c r="VIB5" s="19"/>
      <c r="VIF5" s="19"/>
      <c r="VIJ5" s="19"/>
      <c r="VIN5" s="19"/>
      <c r="VIR5" s="19"/>
      <c r="VIV5" s="19"/>
      <c r="VIZ5" s="19"/>
      <c r="VJD5" s="19"/>
      <c r="VJH5" s="19"/>
      <c r="VJL5" s="19"/>
      <c r="VJP5" s="19"/>
      <c r="VJT5" s="19"/>
      <c r="VJX5" s="19"/>
      <c r="VKB5" s="19"/>
      <c r="VKF5" s="19"/>
      <c r="VKJ5" s="19"/>
      <c r="VKN5" s="19"/>
      <c r="VKR5" s="19"/>
      <c r="VKV5" s="19"/>
      <c r="VKZ5" s="19"/>
      <c r="VLD5" s="19"/>
      <c r="VLH5" s="19"/>
      <c r="VLL5" s="19"/>
      <c r="VLP5" s="19"/>
      <c r="VLT5" s="19"/>
      <c r="VLX5" s="19"/>
      <c r="VMB5" s="19"/>
      <c r="VMF5" s="19"/>
      <c r="VMJ5" s="19"/>
      <c r="VMN5" s="19"/>
      <c r="VMR5" s="19"/>
      <c r="VMV5" s="19"/>
      <c r="VMZ5" s="19"/>
      <c r="VND5" s="19"/>
      <c r="VNH5" s="19"/>
      <c r="VNL5" s="19"/>
      <c r="VNP5" s="19"/>
      <c r="VNT5" s="19"/>
      <c r="VNX5" s="19"/>
      <c r="VOB5" s="19"/>
      <c r="VOF5" s="19"/>
      <c r="VOJ5" s="19"/>
      <c r="VON5" s="19"/>
      <c r="VOR5" s="19"/>
      <c r="VOV5" s="19"/>
      <c r="VOZ5" s="19"/>
      <c r="VPD5" s="19"/>
      <c r="VPH5" s="19"/>
      <c r="VPL5" s="19"/>
      <c r="VPP5" s="19"/>
      <c r="VPT5" s="19"/>
      <c r="VPX5" s="19"/>
      <c r="VQB5" s="19"/>
      <c r="VQF5" s="19"/>
      <c r="VQJ5" s="19"/>
      <c r="VQN5" s="19"/>
      <c r="VQR5" s="19"/>
      <c r="VQV5" s="19"/>
      <c r="VQZ5" s="19"/>
      <c r="VRD5" s="19"/>
      <c r="VRH5" s="19"/>
      <c r="VRL5" s="19"/>
      <c r="VRP5" s="19"/>
      <c r="VRT5" s="19"/>
      <c r="VRX5" s="19"/>
      <c r="VSB5" s="19"/>
      <c r="VSF5" s="19"/>
      <c r="VSJ5" s="19"/>
      <c r="VSN5" s="19"/>
      <c r="VSR5" s="19"/>
      <c r="VSV5" s="19"/>
      <c r="VSZ5" s="19"/>
      <c r="VTD5" s="19"/>
      <c r="VTH5" s="19"/>
      <c r="VTL5" s="19"/>
      <c r="VTP5" s="19"/>
      <c r="VTT5" s="19"/>
      <c r="VTX5" s="19"/>
      <c r="VUB5" s="19"/>
      <c r="VUF5" s="19"/>
      <c r="VUJ5" s="19"/>
      <c r="VUN5" s="19"/>
      <c r="VUR5" s="19"/>
      <c r="VUV5" s="19"/>
      <c r="VUZ5" s="19"/>
      <c r="VVD5" s="19"/>
      <c r="VVH5" s="19"/>
      <c r="VVL5" s="19"/>
      <c r="VVP5" s="19"/>
      <c r="VVT5" s="19"/>
      <c r="VVX5" s="19"/>
      <c r="VWB5" s="19"/>
      <c r="VWF5" s="19"/>
      <c r="VWJ5" s="19"/>
      <c r="VWN5" s="19"/>
      <c r="VWR5" s="19"/>
      <c r="VWV5" s="19"/>
      <c r="VWZ5" s="19"/>
      <c r="VXD5" s="19"/>
      <c r="VXH5" s="19"/>
      <c r="VXL5" s="19"/>
      <c r="VXP5" s="19"/>
      <c r="VXT5" s="19"/>
      <c r="VXX5" s="19"/>
      <c r="VYB5" s="19"/>
      <c r="VYF5" s="19"/>
      <c r="VYJ5" s="19"/>
      <c r="VYN5" s="19"/>
      <c r="VYR5" s="19"/>
      <c r="VYV5" s="19"/>
      <c r="VYZ5" s="19"/>
      <c r="VZD5" s="19"/>
      <c r="VZH5" s="19"/>
      <c r="VZL5" s="19"/>
      <c r="VZP5" s="19"/>
      <c r="VZT5" s="19"/>
      <c r="VZX5" s="19"/>
      <c r="WAB5" s="19"/>
      <c r="WAF5" s="19"/>
      <c r="WAJ5" s="19"/>
      <c r="WAN5" s="19"/>
      <c r="WAR5" s="19"/>
      <c r="WAV5" s="19"/>
      <c r="WAZ5" s="19"/>
      <c r="WBD5" s="19"/>
      <c r="WBH5" s="19"/>
      <c r="WBL5" s="19"/>
      <c r="WBP5" s="19"/>
      <c r="WBT5" s="19"/>
      <c r="WBX5" s="19"/>
      <c r="WCB5" s="19"/>
      <c r="WCF5" s="19"/>
      <c r="WCJ5" s="19"/>
      <c r="WCN5" s="19"/>
      <c r="WCR5" s="19"/>
      <c r="WCV5" s="19"/>
      <c r="WCZ5" s="19"/>
      <c r="WDD5" s="19"/>
      <c r="WDH5" s="19"/>
      <c r="WDL5" s="19"/>
      <c r="WDP5" s="19"/>
      <c r="WDT5" s="19"/>
      <c r="WDX5" s="19"/>
      <c r="WEB5" s="19"/>
      <c r="WEF5" s="19"/>
      <c r="WEJ5" s="19"/>
      <c r="WEN5" s="19"/>
      <c r="WER5" s="19"/>
      <c r="WEV5" s="19"/>
      <c r="WEZ5" s="19"/>
      <c r="WFD5" s="19"/>
      <c r="WFH5" s="19"/>
      <c r="WFL5" s="19"/>
      <c r="WFP5" s="19"/>
      <c r="WFT5" s="19"/>
      <c r="WFX5" s="19"/>
      <c r="WGB5" s="19"/>
      <c r="WGF5" s="19"/>
      <c r="WGJ5" s="19"/>
      <c r="WGN5" s="19"/>
      <c r="WGR5" s="19"/>
      <c r="WGV5" s="19"/>
      <c r="WGZ5" s="19"/>
      <c r="WHD5" s="19"/>
      <c r="WHH5" s="19"/>
      <c r="WHL5" s="19"/>
      <c r="WHP5" s="19"/>
      <c r="WHT5" s="19"/>
      <c r="WHX5" s="19"/>
      <c r="WIB5" s="19"/>
      <c r="WIF5" s="19"/>
      <c r="WIJ5" s="19"/>
      <c r="WIN5" s="19"/>
      <c r="WIR5" s="19"/>
      <c r="WIV5" s="19"/>
      <c r="WIZ5" s="19"/>
      <c r="WJD5" s="19"/>
      <c r="WJH5" s="19"/>
      <c r="WJL5" s="19"/>
      <c r="WJP5" s="19"/>
      <c r="WJT5" s="19"/>
      <c r="WJX5" s="19"/>
      <c r="WKB5" s="19"/>
      <c r="WKF5" s="19"/>
      <c r="WKJ5" s="19"/>
      <c r="WKN5" s="19"/>
      <c r="WKR5" s="19"/>
      <c r="WKV5" s="19"/>
      <c r="WKZ5" s="19"/>
      <c r="WLD5" s="19"/>
      <c r="WLH5" s="19"/>
      <c r="WLL5" s="19"/>
      <c r="WLP5" s="19"/>
      <c r="WLT5" s="19"/>
      <c r="WLX5" s="19"/>
      <c r="WMB5" s="19"/>
      <c r="WMF5" s="19"/>
      <c r="WMJ5" s="19"/>
      <c r="WMN5" s="19"/>
      <c r="WMR5" s="19"/>
      <c r="WMV5" s="19"/>
      <c r="WMZ5" s="19"/>
      <c r="WND5" s="19"/>
      <c r="WNH5" s="19"/>
      <c r="WNL5" s="19"/>
      <c r="WNP5" s="19"/>
      <c r="WNT5" s="19"/>
      <c r="WNX5" s="19"/>
      <c r="WOB5" s="19"/>
      <c r="WOF5" s="19"/>
      <c r="WOJ5" s="19"/>
      <c r="WON5" s="19"/>
      <c r="WOR5" s="19"/>
      <c r="WOV5" s="19"/>
      <c r="WOZ5" s="19"/>
      <c r="WPD5" s="19"/>
      <c r="WPH5" s="19"/>
      <c r="WPL5" s="19"/>
      <c r="WPP5" s="19"/>
      <c r="WPT5" s="19"/>
      <c r="WPX5" s="19"/>
      <c r="WQB5" s="19"/>
      <c r="WQF5" s="19"/>
      <c r="WQJ5" s="19"/>
      <c r="WQN5" s="19"/>
      <c r="WQR5" s="19"/>
      <c r="WQV5" s="19"/>
      <c r="WQZ5" s="19"/>
      <c r="WRD5" s="19"/>
      <c r="WRH5" s="19"/>
      <c r="WRL5" s="19"/>
      <c r="WRP5" s="19"/>
      <c r="WRT5" s="19"/>
      <c r="WRX5" s="19"/>
      <c r="WSB5" s="19"/>
      <c r="WSF5" s="19"/>
      <c r="WSJ5" s="19"/>
      <c r="WSN5" s="19"/>
      <c r="WSR5" s="19"/>
      <c r="WSV5" s="19"/>
      <c r="WSZ5" s="19"/>
      <c r="WTD5" s="19"/>
      <c r="WTH5" s="19"/>
      <c r="WTL5" s="19"/>
      <c r="WTP5" s="19"/>
      <c r="WTT5" s="19"/>
      <c r="WTX5" s="19"/>
      <c r="WUB5" s="19"/>
      <c r="WUF5" s="19"/>
      <c r="WUJ5" s="19"/>
      <c r="WUN5" s="19"/>
      <c r="WUR5" s="19"/>
      <c r="WUV5" s="19"/>
      <c r="WUZ5" s="19"/>
      <c r="WVD5" s="19"/>
      <c r="WVH5" s="19"/>
      <c r="WVL5" s="19"/>
      <c r="WVP5" s="19"/>
      <c r="WVT5" s="19"/>
      <c r="WVX5" s="19"/>
      <c r="WWB5" s="19"/>
      <c r="WWF5" s="19"/>
      <c r="WWJ5" s="19"/>
      <c r="WWN5" s="19"/>
      <c r="WWR5" s="19"/>
      <c r="WWV5" s="19"/>
      <c r="WWZ5" s="19"/>
      <c r="WXD5" s="19"/>
      <c r="WXH5" s="19"/>
      <c r="WXL5" s="19"/>
      <c r="WXP5" s="19"/>
      <c r="WXT5" s="19"/>
      <c r="WXX5" s="19"/>
      <c r="WYB5" s="19"/>
      <c r="WYF5" s="19"/>
      <c r="WYJ5" s="19"/>
      <c r="WYN5" s="19"/>
      <c r="WYR5" s="19"/>
      <c r="WYV5" s="19"/>
      <c r="WYZ5" s="19"/>
      <c r="WZD5" s="19"/>
      <c r="WZH5" s="19"/>
      <c r="WZL5" s="19"/>
      <c r="WZP5" s="19"/>
      <c r="WZT5" s="19"/>
      <c r="WZX5" s="19"/>
      <c r="XAB5" s="19"/>
      <c r="XAF5" s="19"/>
      <c r="XAJ5" s="19"/>
      <c r="XAN5" s="19"/>
      <c r="XAR5" s="19"/>
      <c r="XAV5" s="19"/>
      <c r="XAZ5" s="19"/>
      <c r="XBD5" s="19"/>
      <c r="XBH5" s="19"/>
      <c r="XBL5" s="19"/>
      <c r="XBP5" s="19"/>
      <c r="XBT5" s="19"/>
      <c r="XBX5" s="19"/>
      <c r="XCB5" s="19"/>
      <c r="XCF5" s="19"/>
      <c r="XCJ5" s="19"/>
      <c r="XCN5" s="19"/>
      <c r="XCR5" s="19"/>
      <c r="XCV5" s="19"/>
      <c r="XCZ5" s="19"/>
      <c r="XDD5" s="19"/>
      <c r="XDH5" s="19"/>
      <c r="XDL5" s="19"/>
      <c r="XDP5" s="19"/>
      <c r="XDT5" s="19"/>
      <c r="XDX5" s="19"/>
      <c r="XEB5" s="19"/>
      <c r="XEF5" s="19"/>
      <c r="XEJ5" s="19"/>
      <c r="XEN5" s="19"/>
      <c r="XER5" s="19"/>
      <c r="XEV5" s="19"/>
      <c r="XEZ5" s="19"/>
      <c r="XFD5" s="19"/>
    </row>
    <row r="6" spans="1:7" ht="15.75">
      <c r="A6" s="20"/>
      <c r="E6" s="19" t="s">
        <v>623</v>
      </c>
      <c r="F6" s="22"/>
      <c r="G6" s="22"/>
    </row>
    <row r="7" spans="1:7" ht="15.75">
      <c r="A7" s="20"/>
      <c r="E7" s="19"/>
      <c r="F7" s="22"/>
      <c r="G7" s="22"/>
    </row>
    <row r="8" spans="1:7" ht="15.75">
      <c r="A8" s="20"/>
      <c r="C8" s="201"/>
      <c r="D8" s="22"/>
      <c r="E8" s="201" t="s">
        <v>466</v>
      </c>
      <c r="F8" s="22"/>
      <c r="G8" s="22"/>
    </row>
    <row r="9" spans="1:10" ht="15.75">
      <c r="A9" s="20"/>
      <c r="C9" s="19"/>
      <c r="D9" s="22"/>
      <c r="E9" s="19" t="s">
        <v>612</v>
      </c>
      <c r="F9" s="22"/>
      <c r="G9" s="22"/>
      <c r="H9" s="20"/>
      <c r="I9" s="20"/>
      <c r="J9" s="20"/>
    </row>
    <row r="10" spans="1:7" ht="15.75">
      <c r="A10" s="20"/>
      <c r="B10" s="19"/>
      <c r="C10" s="19"/>
      <c r="D10" s="22"/>
      <c r="E10" s="19" t="s">
        <v>758</v>
      </c>
      <c r="F10" s="22"/>
      <c r="G10" s="22"/>
    </row>
    <row r="11" spans="3:7" s="22" customFormat="1" ht="15" customHeight="1">
      <c r="C11" s="19"/>
      <c r="E11" s="19" t="s">
        <v>623</v>
      </c>
      <c r="G11" s="201"/>
    </row>
    <row r="12" spans="3:7" s="22" customFormat="1" ht="15" customHeight="1">
      <c r="C12" s="202"/>
      <c r="G12" s="19"/>
    </row>
    <row r="13" spans="1:7" s="22" customFormat="1" ht="15" customHeight="1">
      <c r="A13" s="14" t="s">
        <v>737</v>
      </c>
      <c r="B13" s="14"/>
      <c r="C13" s="14"/>
      <c r="D13" s="14"/>
      <c r="E13" s="14"/>
      <c r="G13" s="19"/>
    </row>
    <row r="14" spans="3:7" s="22" customFormat="1" ht="15" customHeight="1">
      <c r="C14" s="23"/>
      <c r="G14" s="19"/>
    </row>
    <row r="15" spans="1:7" s="22" customFormat="1" ht="81" customHeight="1">
      <c r="A15" s="24" t="s">
        <v>467</v>
      </c>
      <c r="B15" s="24" t="s">
        <v>468</v>
      </c>
      <c r="C15" s="25" t="s">
        <v>624</v>
      </c>
      <c r="D15" s="228" t="s">
        <v>796</v>
      </c>
      <c r="E15" s="18" t="s">
        <v>795</v>
      </c>
      <c r="G15" s="19"/>
    </row>
    <row r="16" spans="1:12" s="22" customFormat="1" ht="30" customHeight="1">
      <c r="A16" s="26" t="s">
        <v>469</v>
      </c>
      <c r="B16" s="27"/>
      <c r="C16" s="28">
        <f>C17+C19+C21+C25+C28+C30+C32+C35+C37+C39+C42+C23</f>
        <v>37186267</v>
      </c>
      <c r="D16" s="28">
        <f>D17+D19+D21+D25+D28+D30+D32+D35+D37+D39+D42+D23</f>
        <v>197797</v>
      </c>
      <c r="E16" s="28">
        <f>E17+E19+E21+E25+E28+E30+E32+E35+E37+E39+E42+E23</f>
        <v>37384064</v>
      </c>
      <c r="L16" s="218"/>
    </row>
    <row r="17" spans="1:12" s="29" customFormat="1" ht="15" customHeight="1">
      <c r="A17" s="27" t="s">
        <v>264</v>
      </c>
      <c r="B17" s="27" t="s">
        <v>263</v>
      </c>
      <c r="C17" s="28">
        <f>C18</f>
        <v>11412338</v>
      </c>
      <c r="D17" s="28">
        <f t="shared" si="0" ref="D17:E17">D18</f>
        <v>0</v>
      </c>
      <c r="E17" s="28">
        <f t="shared" si="0"/>
        <v>11412338</v>
      </c>
      <c r="L17" s="218"/>
    </row>
    <row r="18" spans="1:12" s="22" customFormat="1" ht="15" customHeight="1">
      <c r="A18" s="30" t="s">
        <v>470</v>
      </c>
      <c r="B18" s="31" t="s">
        <v>471</v>
      </c>
      <c r="C18" s="32">
        <f>'2.pielikums'!I20</f>
        <v>11412338</v>
      </c>
      <c r="D18" s="44"/>
      <c r="E18" s="217">
        <f>'2.pielikums'!K20</f>
        <v>11412338</v>
      </c>
      <c r="L18" s="218"/>
    </row>
    <row r="19" spans="1:12" s="22" customFormat="1" ht="15" customHeight="1">
      <c r="A19" s="33" t="s">
        <v>269</v>
      </c>
      <c r="B19" s="33" t="s">
        <v>268</v>
      </c>
      <c r="C19" s="34">
        <f>C20</f>
        <v>1068791</v>
      </c>
      <c r="D19" s="34">
        <f t="shared" si="1" ref="D19:E19">D20</f>
        <v>0</v>
      </c>
      <c r="E19" s="34">
        <f t="shared" si="1"/>
        <v>1068791</v>
      </c>
      <c r="L19" s="218"/>
    </row>
    <row r="20" spans="1:12" s="22" customFormat="1" ht="15" customHeight="1">
      <c r="A20" s="35" t="s">
        <v>472</v>
      </c>
      <c r="B20" s="36" t="s">
        <v>473</v>
      </c>
      <c r="C20" s="37">
        <f>'2.pielikums'!I23</f>
        <v>1068791</v>
      </c>
      <c r="D20" s="44"/>
      <c r="E20" s="217">
        <f>'2.pielikums'!K23</f>
        <v>1068791</v>
      </c>
      <c r="L20" s="218"/>
    </row>
    <row r="21" spans="1:12" s="22" customFormat="1" ht="15" customHeight="1">
      <c r="A21" s="33" t="s">
        <v>474</v>
      </c>
      <c r="B21" s="33" t="s">
        <v>291</v>
      </c>
      <c r="C21" s="34">
        <f>C22</f>
        <v>57000</v>
      </c>
      <c r="D21" s="34">
        <f t="shared" si="2" ref="D21:E21">D22</f>
        <v>0</v>
      </c>
      <c r="E21" s="34">
        <f t="shared" si="2"/>
        <v>57000</v>
      </c>
      <c r="L21" s="218"/>
    </row>
    <row r="22" spans="1:12" s="22" customFormat="1" ht="15" customHeight="1">
      <c r="A22" s="35" t="s">
        <v>475</v>
      </c>
      <c r="B22" s="36" t="s">
        <v>476</v>
      </c>
      <c r="C22" s="37">
        <f>'2.pielikums'!I34</f>
        <v>57000</v>
      </c>
      <c r="D22" s="44"/>
      <c r="E22" s="217">
        <f>'2.pielikums'!K34</f>
        <v>57000</v>
      </c>
      <c r="L22" s="218"/>
    </row>
    <row r="23" spans="1:12" s="22" customFormat="1" ht="15" customHeight="1">
      <c r="A23" s="33" t="s">
        <v>477</v>
      </c>
      <c r="B23" s="33" t="s">
        <v>302</v>
      </c>
      <c r="C23" s="34">
        <f>C24</f>
        <v>6600</v>
      </c>
      <c r="D23" s="34">
        <f t="shared" si="3" ref="D23:E23">D24</f>
        <v>0</v>
      </c>
      <c r="E23" s="34">
        <f t="shared" si="3"/>
        <v>6600</v>
      </c>
      <c r="L23" s="218"/>
    </row>
    <row r="24" spans="1:12" s="22" customFormat="1" ht="30" customHeight="1">
      <c r="A24" s="35" t="s">
        <v>305</v>
      </c>
      <c r="B24" s="36" t="s">
        <v>304</v>
      </c>
      <c r="C24" s="37">
        <f>'2.pielikums'!I41</f>
        <v>6600</v>
      </c>
      <c r="D24" s="44"/>
      <c r="E24" s="217">
        <f>'2.pielikums'!K41</f>
        <v>6600</v>
      </c>
      <c r="L24" s="218"/>
    </row>
    <row r="25" spans="1:12" s="22" customFormat="1" ht="15" customHeight="1">
      <c r="A25" s="33" t="s">
        <v>307</v>
      </c>
      <c r="B25" s="33" t="s">
        <v>306</v>
      </c>
      <c r="C25" s="34">
        <f>C26+C27</f>
        <v>15585</v>
      </c>
      <c r="D25" s="34">
        <f t="shared" si="4" ref="D25:E25">D26+D27</f>
        <v>0</v>
      </c>
      <c r="E25" s="34">
        <f t="shared" si="4"/>
        <v>15585</v>
      </c>
      <c r="L25" s="218"/>
    </row>
    <row r="26" spans="1:12" s="22" customFormat="1" ht="15" customHeight="1">
      <c r="A26" s="35" t="s">
        <v>478</v>
      </c>
      <c r="B26" s="36" t="s">
        <v>479</v>
      </c>
      <c r="C26" s="37">
        <f>'2.pielikums'!I43</f>
        <v>11185</v>
      </c>
      <c r="D26" s="44"/>
      <c r="E26" s="217">
        <f>'2.pielikums'!K43</f>
        <v>11185</v>
      </c>
      <c r="L26" s="218"/>
    </row>
    <row r="27" spans="1:12" s="22" customFormat="1" ht="15" customHeight="1">
      <c r="A27" s="35" t="s">
        <v>480</v>
      </c>
      <c r="B27" s="36" t="s">
        <v>481</v>
      </c>
      <c r="C27" s="37">
        <f>'2.pielikums'!I50</f>
        <v>4400</v>
      </c>
      <c r="D27" s="44"/>
      <c r="E27" s="217">
        <f>'2.pielikums'!K50</f>
        <v>4400</v>
      </c>
      <c r="L27" s="218"/>
    </row>
    <row r="28" spans="1:12" s="22" customFormat="1" ht="15" customHeight="1">
      <c r="A28" s="33" t="s">
        <v>331</v>
      </c>
      <c r="B28" s="33" t="s">
        <v>330</v>
      </c>
      <c r="C28" s="34">
        <f>C29</f>
        <v>2000</v>
      </c>
      <c r="D28" s="34">
        <f>D29</f>
        <v>0</v>
      </c>
      <c r="E28" s="34">
        <f>E29</f>
        <v>2000</v>
      </c>
      <c r="L28" s="218"/>
    </row>
    <row r="29" spans="1:12" s="22" customFormat="1" ht="15" customHeight="1">
      <c r="A29" s="35" t="s">
        <v>482</v>
      </c>
      <c r="B29" s="36" t="s">
        <v>483</v>
      </c>
      <c r="C29" s="37">
        <f>'2.pielikums'!I56</f>
        <v>2000</v>
      </c>
      <c r="D29" s="44"/>
      <c r="E29" s="217">
        <f>'2.pielikums'!K56</f>
        <v>2000</v>
      </c>
      <c r="L29" s="218"/>
    </row>
    <row r="30" spans="1:12" s="22" customFormat="1" ht="15" customHeight="1">
      <c r="A30" s="33" t="s">
        <v>339</v>
      </c>
      <c r="B30" s="33" t="s">
        <v>338</v>
      </c>
      <c r="C30" s="34">
        <f>C31</f>
        <v>44659</v>
      </c>
      <c r="D30" s="34">
        <f t="shared" si="5" ref="D30:E30">D31</f>
        <v>0</v>
      </c>
      <c r="E30" s="34">
        <f t="shared" si="5"/>
        <v>44659</v>
      </c>
      <c r="L30" s="218"/>
    </row>
    <row r="31" spans="1:12" s="22" customFormat="1" ht="15" customHeight="1">
      <c r="A31" s="38" t="s">
        <v>484</v>
      </c>
      <c r="B31" s="36" t="s">
        <v>485</v>
      </c>
      <c r="C31" s="37">
        <f>'2.pielikums'!I60</f>
        <v>44659</v>
      </c>
      <c r="D31" s="44"/>
      <c r="E31" s="217">
        <f>'2.pielikums'!K60</f>
        <v>44659</v>
      </c>
      <c r="L31" s="218"/>
    </row>
    <row r="32" spans="1:12" s="22" customFormat="1" ht="30" customHeight="1">
      <c r="A32" s="33" t="s">
        <v>486</v>
      </c>
      <c r="B32" s="33" t="s">
        <v>346</v>
      </c>
      <c r="C32" s="34">
        <f>C33+C34</f>
        <v>530000</v>
      </c>
      <c r="D32" s="34">
        <f t="shared" si="6" ref="D32:E32">D33+D34</f>
        <v>0</v>
      </c>
      <c r="E32" s="34">
        <f t="shared" si="6"/>
        <v>530000</v>
      </c>
      <c r="L32" s="218"/>
    </row>
    <row r="33" spans="1:12" s="22" customFormat="1" ht="15" customHeight="1">
      <c r="A33" s="35" t="s">
        <v>487</v>
      </c>
      <c r="B33" s="39" t="s">
        <v>488</v>
      </c>
      <c r="C33" s="37">
        <f>'2.pielikums'!I70</f>
        <v>30000</v>
      </c>
      <c r="D33" s="44"/>
      <c r="E33" s="217">
        <f>'2.pielikums'!K70</f>
        <v>30000</v>
      </c>
      <c r="L33" s="218"/>
    </row>
    <row r="34" spans="1:12" s="22" customFormat="1" ht="15" customHeight="1">
      <c r="A34" s="35" t="s">
        <v>489</v>
      </c>
      <c r="B34" s="39" t="s">
        <v>490</v>
      </c>
      <c r="C34" s="37">
        <f>'2.pielikums'!I71</f>
        <v>500000</v>
      </c>
      <c r="D34" s="44"/>
      <c r="E34" s="217">
        <f>'2.pielikums'!K71</f>
        <v>500000</v>
      </c>
      <c r="L34" s="218"/>
    </row>
    <row r="35" spans="1:12" s="22" customFormat="1" ht="30" customHeight="1">
      <c r="A35" s="33" t="s">
        <v>491</v>
      </c>
      <c r="B35" s="33" t="s">
        <v>356</v>
      </c>
      <c r="C35" s="34">
        <f>C36</f>
        <v>8000</v>
      </c>
      <c r="D35" s="34">
        <f>D36</f>
        <v>0</v>
      </c>
      <c r="E35" s="34">
        <f>E36</f>
        <v>8000</v>
      </c>
      <c r="L35" s="218"/>
    </row>
    <row r="36" spans="1:12" s="22" customFormat="1" ht="15" customHeight="1">
      <c r="A36" s="35" t="s">
        <v>492</v>
      </c>
      <c r="B36" s="36" t="s">
        <v>493</v>
      </c>
      <c r="C36" s="37">
        <f>'2.pielikums'!I74</f>
        <v>8000</v>
      </c>
      <c r="D36" s="44"/>
      <c r="E36" s="217">
        <f>'2.pielikums'!K74</f>
        <v>8000</v>
      </c>
      <c r="L36" s="218"/>
    </row>
    <row r="37" spans="1:12" s="22" customFormat="1" ht="15" customHeight="1">
      <c r="A37" s="33" t="s">
        <v>494</v>
      </c>
      <c r="B37" s="33" t="s">
        <v>359</v>
      </c>
      <c r="C37" s="34">
        <f>C38</f>
        <v>18261306</v>
      </c>
      <c r="D37" s="34">
        <f>D38</f>
        <v>135012</v>
      </c>
      <c r="E37" s="34">
        <f>E38</f>
        <v>18396318</v>
      </c>
      <c r="L37" s="218"/>
    </row>
    <row r="38" spans="1:12" s="22" customFormat="1" ht="15" customHeight="1">
      <c r="A38" s="35" t="s">
        <v>495</v>
      </c>
      <c r="B38" s="36" t="s">
        <v>496</v>
      </c>
      <c r="C38" s="37">
        <f>'2.pielikums'!I76</f>
        <v>18261306</v>
      </c>
      <c r="D38" s="217">
        <f>'2.pielikums'!J76</f>
        <v>135012</v>
      </c>
      <c r="E38" s="217">
        <f>'2.pielikums'!K76</f>
        <v>18396318</v>
      </c>
      <c r="F38" s="218"/>
      <c r="L38" s="218"/>
    </row>
    <row r="39" spans="1:12" s="22" customFormat="1" ht="15" customHeight="1">
      <c r="A39" s="33" t="s">
        <v>547</v>
      </c>
      <c r="B39" s="33" t="s">
        <v>548</v>
      </c>
      <c r="C39" s="34">
        <f>C40</f>
        <v>150000</v>
      </c>
      <c r="D39" s="34">
        <f>D40</f>
        <v>39701</v>
      </c>
      <c r="E39" s="34">
        <f>E40</f>
        <v>189701</v>
      </c>
      <c r="L39" s="218"/>
    </row>
    <row r="40" spans="1:12" s="22" customFormat="1" ht="15" customHeight="1">
      <c r="A40" s="35" t="s">
        <v>549</v>
      </c>
      <c r="B40" s="36" t="s">
        <v>550</v>
      </c>
      <c r="C40" s="37">
        <f>'2.pielikums'!I138</f>
        <v>150000</v>
      </c>
      <c r="D40" s="217">
        <f>'2.pielikums'!F140</f>
        <v>39701</v>
      </c>
      <c r="E40" s="217">
        <f>'2.pielikums'!K138</f>
        <v>189701</v>
      </c>
      <c r="L40" s="218"/>
    </row>
    <row r="41" spans="1:12" s="22" customFormat="1" ht="15" customHeight="1">
      <c r="A41" s="35"/>
      <c r="B41" s="36"/>
      <c r="C41" s="37"/>
      <c r="D41" s="217"/>
      <c r="E41" s="217"/>
      <c r="L41" s="218"/>
    </row>
    <row r="42" spans="1:12" s="22" customFormat="1" ht="15" customHeight="1">
      <c r="A42" s="33" t="s">
        <v>497</v>
      </c>
      <c r="B42" s="33" t="s">
        <v>498</v>
      </c>
      <c r="C42" s="34">
        <f>SUM(C43:C44)</f>
        <v>5629988</v>
      </c>
      <c r="D42" s="34">
        <f>SUM(D43:D44)</f>
        <v>23084</v>
      </c>
      <c r="E42" s="34">
        <f>SUM(E43:E44)</f>
        <v>5653072</v>
      </c>
      <c r="L42" s="218"/>
    </row>
    <row r="43" spans="1:12" s="22" customFormat="1" ht="30" customHeight="1">
      <c r="A43" s="35" t="s">
        <v>499</v>
      </c>
      <c r="B43" s="36" t="s">
        <v>500</v>
      </c>
      <c r="C43" s="37">
        <f>'2.pielikums'!I142</f>
        <v>5624988</v>
      </c>
      <c r="D43" s="37">
        <f>'2.pielikums'!J142</f>
        <v>0</v>
      </c>
      <c r="E43" s="217">
        <f>'2.pielikums'!K142</f>
        <v>5624988</v>
      </c>
      <c r="L43" s="218"/>
    </row>
    <row r="44" spans="1:12" s="22" customFormat="1" ht="30" customHeight="1">
      <c r="A44" s="35" t="s">
        <v>501</v>
      </c>
      <c r="B44" s="36" t="s">
        <v>502</v>
      </c>
      <c r="C44" s="37">
        <f>'2.pielikums'!I413</f>
        <v>5000</v>
      </c>
      <c r="D44" s="217">
        <f>'2.pielikums'!J413</f>
        <v>23084</v>
      </c>
      <c r="E44" s="217">
        <f>'2.pielikums'!K413</f>
        <v>28084</v>
      </c>
      <c r="L44" s="218"/>
    </row>
    <row r="45" spans="1:12" s="22" customFormat="1" ht="30" customHeight="1">
      <c r="A45" s="40" t="s">
        <v>503</v>
      </c>
      <c r="B45" s="33" t="s">
        <v>504</v>
      </c>
      <c r="C45" s="41">
        <f>C46</f>
        <v>38791445</v>
      </c>
      <c r="D45" s="41">
        <f>D46</f>
        <v>519037.78000000026</v>
      </c>
      <c r="E45" s="41">
        <f>E46</f>
        <v>39310482.780000001</v>
      </c>
      <c r="F45" s="218"/>
      <c r="L45" s="218"/>
    </row>
    <row r="46" spans="1:12" s="22" customFormat="1" ht="30" customHeight="1">
      <c r="A46" s="42" t="s">
        <v>505</v>
      </c>
      <c r="B46" s="43"/>
      <c r="C46" s="41">
        <f>SUM(C47:C55)</f>
        <v>38791445</v>
      </c>
      <c r="D46" s="41">
        <f>SUM(D47:D55)</f>
        <v>519037.78000000026</v>
      </c>
      <c r="E46" s="41">
        <f>SUM(E47:E55)</f>
        <v>39310482.780000001</v>
      </c>
      <c r="L46" s="218"/>
    </row>
    <row r="47" spans="1:12" s="22" customFormat="1" ht="15" customHeight="1">
      <c r="A47" s="33" t="s">
        <v>193</v>
      </c>
      <c r="B47" s="33" t="s">
        <v>192</v>
      </c>
      <c r="C47" s="41">
        <v>3592922</v>
      </c>
      <c r="D47" s="217">
        <f>E47-C47</f>
        <v>-3231</v>
      </c>
      <c r="E47" s="217">
        <f>'3.pielikums'!H17</f>
        <v>3589691</v>
      </c>
      <c r="L47" s="218"/>
    </row>
    <row r="48" spans="1:12" s="22" customFormat="1" ht="15" customHeight="1">
      <c r="A48" s="33" t="s">
        <v>195</v>
      </c>
      <c r="B48" s="33" t="s">
        <v>194</v>
      </c>
      <c r="C48" s="41">
        <v>399619</v>
      </c>
      <c r="D48" s="217">
        <f>E48-C48</f>
        <v>0</v>
      </c>
      <c r="E48" s="217">
        <f>'3.pielikums'!H32</f>
        <v>399619</v>
      </c>
      <c r="L48" s="218"/>
    </row>
    <row r="49" spans="1:12" s="22" customFormat="1" ht="15" customHeight="1">
      <c r="A49" s="33" t="s">
        <v>197</v>
      </c>
      <c r="B49" s="33" t="s">
        <v>196</v>
      </c>
      <c r="C49" s="41">
        <v>4448378</v>
      </c>
      <c r="D49" s="217">
        <f>E49-C49</f>
        <v>10508.780000000261</v>
      </c>
      <c r="E49" s="217">
        <f>'3.pielikums'!H36</f>
        <v>4458886.78</v>
      </c>
      <c r="L49" s="218"/>
    </row>
    <row r="50" spans="1:12" s="22" customFormat="1" ht="15" customHeight="1">
      <c r="A50" s="33" t="s">
        <v>202</v>
      </c>
      <c r="B50" s="33" t="s">
        <v>201</v>
      </c>
      <c r="C50" s="41">
        <v>242675</v>
      </c>
      <c r="D50" s="217">
        <f>E50-C50</f>
        <v>0</v>
      </c>
      <c r="E50" s="217">
        <f>'3.pielikums'!H73</f>
        <v>242675</v>
      </c>
      <c r="L50" s="218"/>
    </row>
    <row r="51" spans="1:12" s="22" customFormat="1" ht="15" customHeight="1">
      <c r="A51" s="33" t="s">
        <v>506</v>
      </c>
      <c r="B51" s="33" t="s">
        <v>203</v>
      </c>
      <c r="C51" s="41">
        <v>6000023</v>
      </c>
      <c r="D51" s="217">
        <f>E51-C51</f>
        <v>72161</v>
      </c>
      <c r="E51" s="217">
        <f>'3.pielikums'!H96</f>
        <v>6072184</v>
      </c>
      <c r="L51" s="218"/>
    </row>
    <row r="52" spans="1:12" s="22" customFormat="1" ht="15" customHeight="1">
      <c r="A52" s="33" t="s">
        <v>210</v>
      </c>
      <c r="B52" s="33" t="s">
        <v>209</v>
      </c>
      <c r="C52" s="41">
        <v>159758</v>
      </c>
      <c r="D52" s="217">
        <f t="shared" si="7" ref="D52:D55">E52-C52</f>
        <v>0</v>
      </c>
      <c r="E52" s="217">
        <f>'3.pielikums'!H167</f>
        <v>159758</v>
      </c>
      <c r="L52" s="218"/>
    </row>
    <row r="53" spans="1:12" s="22" customFormat="1" ht="15" customHeight="1">
      <c r="A53" s="33" t="s">
        <v>507</v>
      </c>
      <c r="B53" s="33" t="s">
        <v>219</v>
      </c>
      <c r="C53" s="41">
        <v>2614324</v>
      </c>
      <c r="D53" s="217">
        <f t="shared" si="7"/>
        <v>34410</v>
      </c>
      <c r="E53" s="217">
        <f>'3.pielikums'!H178</f>
        <v>2648734</v>
      </c>
      <c r="L53" s="218"/>
    </row>
    <row r="54" spans="1:12" s="22" customFormat="1" ht="15" customHeight="1">
      <c r="A54" s="33" t="s">
        <v>233</v>
      </c>
      <c r="B54" s="33" t="s">
        <v>232</v>
      </c>
      <c r="C54" s="41">
        <v>14774635</v>
      </c>
      <c r="D54" s="217">
        <f>E54-C54</f>
        <v>404639</v>
      </c>
      <c r="E54" s="217">
        <f>'3.pielikums'!H229</f>
        <v>15179274</v>
      </c>
      <c r="L54" s="218"/>
    </row>
    <row r="55" spans="1:12" s="22" customFormat="1" ht="15" customHeight="1">
      <c r="A55" s="33" t="s">
        <v>246</v>
      </c>
      <c r="B55" s="33" t="s">
        <v>245</v>
      </c>
      <c r="C55" s="41">
        <v>6559111</v>
      </c>
      <c r="D55" s="217">
        <f t="shared" si="7"/>
        <v>550</v>
      </c>
      <c r="E55" s="217">
        <f>'3.pielikums'!H299</f>
        <v>6559661</v>
      </c>
      <c r="L55" s="218"/>
    </row>
    <row r="56" spans="1:12" s="22" customFormat="1" ht="30" customHeight="1">
      <c r="A56" s="42" t="s">
        <v>508</v>
      </c>
      <c r="B56" s="43"/>
      <c r="C56" s="34">
        <f>SUM(C57:C63)</f>
        <v>38791445</v>
      </c>
      <c r="D56" s="34">
        <f t="shared" si="8" ref="D56">SUM(D57:D63)</f>
        <v>519037.78</v>
      </c>
      <c r="E56" s="34">
        <f>SUM(E57:E63)</f>
        <v>39310482.780000001</v>
      </c>
      <c r="L56" s="218"/>
    </row>
    <row r="57" spans="1:12" s="22" customFormat="1" ht="15" customHeight="1">
      <c r="A57" s="33" t="s">
        <v>509</v>
      </c>
      <c r="B57" s="33" t="s">
        <v>510</v>
      </c>
      <c r="C57" s="34">
        <v>22152890</v>
      </c>
      <c r="D57" s="219">
        <f t="shared" si="9" ref="D57:D63">E57-C57</f>
        <v>21512</v>
      </c>
      <c r="E57" s="199">
        <f>'4.pielikums'!C351</f>
        <v>22174402</v>
      </c>
      <c r="L57" s="218"/>
    </row>
    <row r="58" spans="1:12" s="22" customFormat="1" ht="15" customHeight="1">
      <c r="A58" s="33" t="s">
        <v>70</v>
      </c>
      <c r="B58" s="33" t="s">
        <v>511</v>
      </c>
      <c r="C58" s="34">
        <v>8919847</v>
      </c>
      <c r="D58" s="219">
        <f t="shared" si="9"/>
        <v>111477</v>
      </c>
      <c r="E58" s="199">
        <f>'4.pielikums'!F351</f>
        <v>9031324</v>
      </c>
      <c r="L58" s="218"/>
    </row>
    <row r="59" spans="1:12" s="22" customFormat="1" ht="15" customHeight="1">
      <c r="A59" s="33" t="s">
        <v>71</v>
      </c>
      <c r="B59" s="33" t="s">
        <v>512</v>
      </c>
      <c r="C59" s="34">
        <v>130554</v>
      </c>
      <c r="D59" s="219">
        <f t="shared" si="9"/>
        <v>-9957</v>
      </c>
      <c r="E59" s="217">
        <f>'4.pielikums'!L351</f>
        <v>120597</v>
      </c>
      <c r="L59" s="218"/>
    </row>
    <row r="60" spans="1:12" s="22" customFormat="1" ht="15" customHeight="1">
      <c r="A60" s="33" t="s">
        <v>513</v>
      </c>
      <c r="B60" s="33" t="s">
        <v>514</v>
      </c>
      <c r="C60" s="34">
        <v>786459</v>
      </c>
      <c r="D60" s="219">
        <f t="shared" si="9"/>
        <v>0</v>
      </c>
      <c r="E60" s="217">
        <f>'4.pielikums'!M351</f>
        <v>786459</v>
      </c>
      <c r="L60" s="218"/>
    </row>
    <row r="61" spans="1:12" s="22" customFormat="1" ht="15" customHeight="1">
      <c r="A61" s="33" t="s">
        <v>73</v>
      </c>
      <c r="B61" s="33" t="s">
        <v>515</v>
      </c>
      <c r="C61" s="34">
        <v>4859567</v>
      </c>
      <c r="D61" s="219">
        <f t="shared" si="9"/>
        <v>352861</v>
      </c>
      <c r="E61" s="217">
        <f>'4.pielikums'!N351</f>
        <v>5212428</v>
      </c>
      <c r="L61" s="218"/>
    </row>
    <row r="62" spans="1:12" s="22" customFormat="1" ht="15" customHeight="1">
      <c r="A62" s="33" t="s">
        <v>172</v>
      </c>
      <c r="B62" s="33" t="s">
        <v>516</v>
      </c>
      <c r="C62" s="34">
        <v>1838163</v>
      </c>
      <c r="D62" s="219">
        <f t="shared" si="9"/>
        <v>0</v>
      </c>
      <c r="E62" s="217">
        <f>'4.pielikums'!O351</f>
        <v>1838163</v>
      </c>
      <c r="L62" s="218"/>
    </row>
    <row r="63" spans="1:12" s="22" customFormat="1" ht="30" customHeight="1">
      <c r="A63" s="33" t="s">
        <v>517</v>
      </c>
      <c r="B63" s="33" t="s">
        <v>518</v>
      </c>
      <c r="C63" s="34">
        <v>103965</v>
      </c>
      <c r="D63" s="219">
        <f t="shared" si="9"/>
        <v>43144.78</v>
      </c>
      <c r="E63" s="217">
        <f>'4.pielikums'!P351</f>
        <v>147109.78</v>
      </c>
      <c r="L63" s="218"/>
    </row>
    <row r="64" spans="1:12" s="22" customFormat="1" ht="30" customHeight="1">
      <c r="A64" s="44"/>
      <c r="B64" s="44"/>
      <c r="C64" s="45"/>
      <c r="D64" s="44"/>
      <c r="E64" s="44"/>
      <c r="L64" s="218"/>
    </row>
    <row r="65" spans="1:12" s="22" customFormat="1" ht="15" customHeight="1">
      <c r="A65" s="40" t="s">
        <v>519</v>
      </c>
      <c r="B65" s="33" t="s">
        <v>504</v>
      </c>
      <c r="C65" s="34">
        <f>C16-C45</f>
        <v>-1605178</v>
      </c>
      <c r="D65" s="34">
        <f>D16-D45</f>
        <v>-321240.78000000026</v>
      </c>
      <c r="E65" s="34">
        <f>E16-E45</f>
        <v>-1926418.7800000012</v>
      </c>
      <c r="F65" s="218"/>
      <c r="L65" s="218"/>
    </row>
    <row r="66" spans="1:12" s="22" customFormat="1" ht="23.25" customHeight="1">
      <c r="A66" s="40" t="s">
        <v>520</v>
      </c>
      <c r="B66" s="33" t="s">
        <v>504</v>
      </c>
      <c r="C66" s="41">
        <f>C67+C74-C77</f>
        <v>1605178</v>
      </c>
      <c r="D66" s="41">
        <f t="shared" si="10" ref="D66">D67+D74-D77</f>
        <v>321241</v>
      </c>
      <c r="E66" s="49">
        <f>E67+E74-E77</f>
        <v>1866538</v>
      </c>
      <c r="L66" s="218"/>
    </row>
    <row r="67" spans="1:12" s="46" customFormat="1" ht="15" customHeight="1">
      <c r="A67" s="33" t="s">
        <v>521</v>
      </c>
      <c r="B67" s="33" t="s">
        <v>522</v>
      </c>
      <c r="C67" s="41">
        <f>C68+C71</f>
        <v>3055076</v>
      </c>
      <c r="D67" s="41">
        <f t="shared" si="11" ref="D67:E67">D68+D71</f>
        <v>59881</v>
      </c>
      <c r="E67" s="49">
        <f t="shared" si="11"/>
        <v>3055076</v>
      </c>
      <c r="L67" s="218"/>
    </row>
    <row r="68" spans="1:12" s="47" customFormat="1" ht="15" customHeight="1">
      <c r="A68" s="33" t="s">
        <v>523</v>
      </c>
      <c r="B68" s="33" t="s">
        <v>524</v>
      </c>
      <c r="C68" s="41">
        <f>C69-C70</f>
        <v>7176</v>
      </c>
      <c r="D68" s="41">
        <f>D69-D70</f>
        <v>0</v>
      </c>
      <c r="E68" s="49">
        <f t="shared" si="12" ref="E68">E69-E70</f>
        <v>7176</v>
      </c>
      <c r="L68" s="218"/>
    </row>
    <row r="69" spans="1:12" s="47" customFormat="1" ht="15" customHeight="1">
      <c r="A69" s="33" t="s">
        <v>712</v>
      </c>
      <c r="B69" s="33" t="s">
        <v>714</v>
      </c>
      <c r="C69" s="41">
        <v>8196</v>
      </c>
      <c r="D69" s="41"/>
      <c r="E69" s="17">
        <v>8196</v>
      </c>
      <c r="L69" s="218"/>
    </row>
    <row r="70" spans="1:12" s="47" customFormat="1" ht="15" customHeight="1">
      <c r="A70" s="33" t="s">
        <v>713</v>
      </c>
      <c r="B70" s="33" t="s">
        <v>715</v>
      </c>
      <c r="C70" s="41">
        <v>1020</v>
      </c>
      <c r="D70" s="41"/>
      <c r="E70" s="17">
        <v>1020</v>
      </c>
      <c r="L70" s="218"/>
    </row>
    <row r="71" spans="1:12" s="48" customFormat="1" ht="15" customHeight="1">
      <c r="A71" s="33" t="s">
        <v>525</v>
      </c>
      <c r="B71" s="33" t="s">
        <v>526</v>
      </c>
      <c r="C71" s="41">
        <f>C72-C73</f>
        <v>3047900</v>
      </c>
      <c r="D71" s="41">
        <f>D72-D73</f>
        <v>59881</v>
      </c>
      <c r="E71" s="189">
        <f>C71</f>
        <v>3047900</v>
      </c>
      <c r="L71" s="218"/>
    </row>
    <row r="72" spans="1:12" s="22" customFormat="1" ht="15" customHeight="1">
      <c r="A72" s="33" t="s">
        <v>527</v>
      </c>
      <c r="B72" s="33" t="s">
        <v>528</v>
      </c>
      <c r="C72" s="41">
        <v>4036030</v>
      </c>
      <c r="D72" s="41"/>
      <c r="E72" s="189">
        <f t="shared" si="13" ref="E72:E77">C72+D72</f>
        <v>4036030</v>
      </c>
      <c r="L72" s="218"/>
    </row>
    <row r="73" spans="1:12" s="22" customFormat="1" ht="30" customHeight="1">
      <c r="A73" s="33" t="s">
        <v>529</v>
      </c>
      <c r="B73" s="33" t="s">
        <v>620</v>
      </c>
      <c r="C73" s="41">
        <v>988130</v>
      </c>
      <c r="D73" s="41">
        <f>-(9731+21110+29040)</f>
        <v>-59881</v>
      </c>
      <c r="E73" s="189">
        <f t="shared" si="13"/>
        <v>928249</v>
      </c>
      <c r="L73" s="218"/>
    </row>
    <row r="74" spans="1:12" s="22" customFormat="1" ht="15" customHeight="1">
      <c r="A74" s="33" t="s">
        <v>191</v>
      </c>
      <c r="B74" s="33" t="s">
        <v>530</v>
      </c>
      <c r="C74" s="41">
        <f>C75-C76</f>
        <v>-1446898</v>
      </c>
      <c r="D74" s="41">
        <f>D75-D76</f>
        <v>261360</v>
      </c>
      <c r="E74" s="189">
        <f t="shared" si="13"/>
        <v>-1185538</v>
      </c>
      <c r="L74" s="218"/>
    </row>
    <row r="75" spans="1:12" s="22" customFormat="1" ht="15" customHeight="1">
      <c r="A75" s="33" t="s">
        <v>531</v>
      </c>
      <c r="B75" s="33" t="s">
        <v>535</v>
      </c>
      <c r="C75" s="41">
        <f>22142+112152+190180+201262+69853+370280+57764</f>
        <v>1023633</v>
      </c>
      <c r="D75" s="237">
        <v>261360</v>
      </c>
      <c r="E75" s="189">
        <f t="shared" si="13"/>
        <v>1284993</v>
      </c>
      <c r="L75" s="218"/>
    </row>
    <row r="76" spans="1:12" s="22" customFormat="1" ht="15" customHeight="1">
      <c r="A76" s="33" t="s">
        <v>532</v>
      </c>
      <c r="B76" s="33" t="s">
        <v>533</v>
      </c>
      <c r="C76" s="49">
        <v>2470531</v>
      </c>
      <c r="D76" s="44"/>
      <c r="E76" s="189">
        <f t="shared" si="13"/>
        <v>2470531</v>
      </c>
      <c r="L76" s="218"/>
    </row>
    <row r="77" spans="1:12" ht="47.25">
      <c r="A77" s="184" t="s">
        <v>731</v>
      </c>
      <c r="B77" s="225" t="s">
        <v>732</v>
      </c>
      <c r="C77" s="17">
        <v>3000</v>
      </c>
      <c r="D77" s="200"/>
      <c r="E77" s="17">
        <f t="shared" si="13"/>
        <v>3000</v>
      </c>
      <c r="L77" s="218"/>
    </row>
    <row r="78" spans="1:1" ht="15.75">
      <c r="A78" s="183"/>
    </row>
    <row r="79" spans="1:1" ht="15.75">
      <c r="A79" s="183"/>
    </row>
    <row r="81" spans="1:1" ht="18.75">
      <c r="A81" s="61" t="s">
        <v>810</v>
      </c>
    </row>
  </sheetData>
  <mergeCells count="1">
    <mergeCell ref="A13:E13"/>
  </mergeCells>
  <pageMargins left="0.25" right="0.25" top="0.75" bottom="0.75" header="0.3" footer="0.3"/>
  <pageSetup orientation="portrait" paperSize="9" scale="7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20"/>
  <sheetViews>
    <sheetView workbookViewId="0" topLeftCell="A1">
      <pane ySplit="1" topLeftCell="A2" activePane="bottomLeft" state="frozen"/>
      <selection pane="topLeft" activeCell="A1" sqref="A1"/>
      <selection pane="bottomLeft" activeCell="I8" sqref="I8"/>
    </sheetView>
  </sheetViews>
  <sheetFormatPr defaultColWidth="9.14428571428571" defaultRowHeight="15.75"/>
  <cols>
    <col min="1" max="1" width="14.2857142857143" style="98" customWidth="1"/>
    <col min="2" max="2" width="48.2857142857143" style="98" customWidth="1"/>
    <col min="3" max="4" width="15.1428571428571" style="98" customWidth="1"/>
    <col min="5" max="6" width="15.7142857142857" style="98" customWidth="1"/>
    <col min="7" max="8" width="14.4285714285714" style="98" customWidth="1"/>
    <col min="9" max="9" width="15.7142857142857" style="98" customWidth="1"/>
    <col min="10" max="10" width="12.4285714285714" style="60" customWidth="1"/>
    <col min="11" max="11" width="13" style="60" customWidth="1"/>
    <col min="12" max="12" width="9.85714285714286" style="58" bestFit="1" customWidth="1"/>
    <col min="13" max="16384" width="9.14285714285714" style="58"/>
  </cols>
  <sheetData>
    <row r="1" spans="1:9" ht="15.75">
      <c r="A1" s="58"/>
      <c r="B1" s="58"/>
      <c r="C1" s="58"/>
      <c r="D1" s="58"/>
      <c r="E1" s="58"/>
      <c r="F1" s="58"/>
      <c r="G1" s="58"/>
      <c r="H1" s="58"/>
      <c r="I1" s="58"/>
    </row>
    <row r="2" spans="1:11" ht="13.5" customHeight="1">
      <c r="A2" s="58"/>
      <c r="B2" s="58"/>
      <c r="C2" s="58"/>
      <c r="D2" s="58"/>
      <c r="E2" s="58"/>
      <c r="F2" s="58"/>
      <c r="G2" s="58"/>
      <c r="H2" s="58"/>
      <c r="I2" s="58"/>
      <c r="K2" s="201" t="s">
        <v>257</v>
      </c>
    </row>
    <row r="3" spans="1:11" ht="15" customHeight="1">
      <c r="A3" s="58"/>
      <c r="B3" s="58"/>
      <c r="C3" s="58"/>
      <c r="D3" s="58"/>
      <c r="E3" s="58"/>
      <c r="F3" s="58"/>
      <c r="G3" s="58"/>
      <c r="H3" s="58"/>
      <c r="I3" s="58"/>
      <c r="K3" s="19" t="s">
        <v>612</v>
      </c>
    </row>
    <row r="4" spans="1:11" ht="14.25" customHeight="1">
      <c r="A4" s="58"/>
      <c r="B4" s="58"/>
      <c r="C4" s="58"/>
      <c r="D4" s="58"/>
      <c r="E4" s="58"/>
      <c r="F4" s="58"/>
      <c r="G4" s="58"/>
      <c r="H4" s="58"/>
      <c r="I4" s="58"/>
      <c r="K4" s="19" t="s">
        <v>814</v>
      </c>
    </row>
    <row r="5" spans="10:11" s="0" customFormat="1" ht="16.5" customHeight="1">
      <c r="J5" s="20"/>
      <c r="K5" s="19" t="s">
        <v>763</v>
      </c>
    </row>
    <row r="6" spans="10:11" s="0" customFormat="1" ht="16.5" customHeight="1">
      <c r="J6" s="20"/>
      <c r="K6" s="19" t="s">
        <v>623</v>
      </c>
    </row>
    <row r="7" spans="10:11" s="0" customFormat="1" ht="16.5" customHeight="1">
      <c r="J7" s="20"/>
      <c r="K7" s="19"/>
    </row>
    <row r="8" spans="9:11" s="0" customFormat="1" ht="15.75">
      <c r="I8" s="201"/>
      <c r="J8" s="20"/>
      <c r="K8" s="201" t="s">
        <v>257</v>
      </c>
    </row>
    <row r="9" spans="9:11" s="0" customFormat="1" ht="15.75">
      <c r="I9" s="19"/>
      <c r="J9" s="20"/>
      <c r="K9" s="19" t="s">
        <v>612</v>
      </c>
    </row>
    <row r="10" spans="9:11" s="0" customFormat="1" ht="15.75">
      <c r="I10" s="19"/>
      <c r="J10" s="20"/>
      <c r="K10" s="19" t="s">
        <v>757</v>
      </c>
    </row>
    <row r="11" spans="9:11" s="0" customFormat="1" ht="15.75" customHeight="1">
      <c r="I11" s="19"/>
      <c r="J11" s="20"/>
      <c r="K11" s="19" t="s">
        <v>623</v>
      </c>
    </row>
    <row r="12" spans="9:11" s="0" customFormat="1" ht="15.75" customHeight="1">
      <c r="I12" s="203"/>
      <c r="J12" s="20"/>
      <c r="K12" s="20"/>
    </row>
    <row r="13" spans="1:11" s="0" customFormat="1" ht="15.75" customHeight="1">
      <c r="A13" s="11" t="s">
        <v>625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1" s="0" customFormat="1" ht="15.75" customHeight="1">
      <c r="A14" s="204"/>
      <c r="B14" s="204"/>
      <c r="C14" s="205"/>
      <c r="D14" s="205"/>
      <c r="E14" s="205"/>
      <c r="F14" s="205"/>
      <c r="G14" s="205"/>
      <c r="H14" s="205"/>
      <c r="I14" s="205"/>
      <c r="J14" s="20"/>
      <c r="K14" s="20"/>
    </row>
    <row r="15" spans="1:11" ht="15" customHeight="1">
      <c r="A15" s="10" t="s">
        <v>184</v>
      </c>
      <c r="B15" s="9" t="s">
        <v>258</v>
      </c>
      <c r="C15" s="8" t="s">
        <v>259</v>
      </c>
      <c r="D15" s="8"/>
      <c r="E15" s="8"/>
      <c r="F15" s="8"/>
      <c r="G15" s="8"/>
      <c r="H15" s="16"/>
      <c r="I15" s="10" t="s">
        <v>755</v>
      </c>
      <c r="J15" s="13" t="s">
        <v>761</v>
      </c>
      <c r="K15" s="13" t="s">
        <v>762</v>
      </c>
    </row>
    <row r="16" spans="1:11" ht="64.5" customHeight="1">
      <c r="A16" s="10"/>
      <c r="B16" s="9"/>
      <c r="C16" s="190" t="s">
        <v>752</v>
      </c>
      <c r="D16" s="190" t="s">
        <v>761</v>
      </c>
      <c r="E16" s="190" t="s">
        <v>753</v>
      </c>
      <c r="F16" s="190" t="s">
        <v>761</v>
      </c>
      <c r="G16" s="190" t="s">
        <v>754</v>
      </c>
      <c r="H16" s="190" t="s">
        <v>761</v>
      </c>
      <c r="I16" s="10"/>
      <c r="J16" s="12"/>
      <c r="K16" s="12"/>
    </row>
    <row r="17" spans="1:12" ht="15" customHeight="1">
      <c r="A17" s="15" t="s">
        <v>260</v>
      </c>
      <c r="B17" s="74" t="s">
        <v>261</v>
      </c>
      <c r="C17" s="76">
        <f>C19+C22+C34+C42+C56+C69+C60+C40</f>
        <v>13136973</v>
      </c>
      <c r="D17" s="76"/>
      <c r="E17" s="76">
        <f>E138+E142+E413+E60</f>
        <v>5779988</v>
      </c>
      <c r="F17" s="76">
        <f>F138+F142+F413+F60</f>
        <v>39701</v>
      </c>
      <c r="G17" s="76">
        <f>G138+G76+G74+G141</f>
        <v>18269306</v>
      </c>
      <c r="H17" s="76">
        <f>H138+H76+H74+H141</f>
        <v>158096</v>
      </c>
      <c r="I17" s="76">
        <f>I19+I22+I34+I40+I42+I56+I60+I69+I74+I76+I138+I141</f>
        <v>37186267</v>
      </c>
      <c r="J17" s="196">
        <f>D17+F17+H17</f>
        <v>197797</v>
      </c>
      <c r="K17" s="212">
        <f>I17+J17</f>
        <v>37384064</v>
      </c>
      <c r="L17" s="78"/>
    </row>
    <row r="18" spans="1:12" ht="15" customHeight="1">
      <c r="A18" s="74">
        <v>1</v>
      </c>
      <c r="B18" s="74" t="s">
        <v>262</v>
      </c>
      <c r="C18" s="76">
        <f>C19+C22+C34</f>
        <v>12538129</v>
      </c>
      <c r="D18" s="76"/>
      <c r="E18" s="77"/>
      <c r="F18" s="113"/>
      <c r="G18" s="113"/>
      <c r="H18" s="113"/>
      <c r="I18" s="76">
        <f t="shared" si="0" ref="I18:I34">C18</f>
        <v>12538129</v>
      </c>
      <c r="J18" s="195"/>
      <c r="K18" s="212">
        <f t="shared" si="1" ref="K18:K81">I18+J18</f>
        <v>12538129</v>
      </c>
      <c r="L18" s="78"/>
    </row>
    <row r="19" spans="1:12" ht="15" customHeight="1">
      <c r="A19" s="74" t="s">
        <v>263</v>
      </c>
      <c r="B19" s="74" t="s">
        <v>264</v>
      </c>
      <c r="C19" s="76">
        <f>C20</f>
        <v>11412338</v>
      </c>
      <c r="D19" s="76"/>
      <c r="E19" s="77"/>
      <c r="F19" s="113"/>
      <c r="G19" s="113"/>
      <c r="H19" s="113"/>
      <c r="I19" s="76">
        <f t="shared" si="0"/>
        <v>11412338</v>
      </c>
      <c r="J19" s="195">
        <f t="shared" si="2" ref="J19:J27">D19+F19+H19</f>
        <v>0</v>
      </c>
      <c r="K19" s="212">
        <f t="shared" si="1"/>
        <v>11412338</v>
      </c>
      <c r="L19" s="78"/>
    </row>
    <row r="20" spans="1:12" ht="15" customHeight="1">
      <c r="A20" s="74" t="s">
        <v>265</v>
      </c>
      <c r="B20" s="74" t="s">
        <v>266</v>
      </c>
      <c r="C20" s="76">
        <f>C21</f>
        <v>11412338</v>
      </c>
      <c r="D20" s="76"/>
      <c r="E20" s="77"/>
      <c r="F20" s="113"/>
      <c r="G20" s="113"/>
      <c r="H20" s="113"/>
      <c r="I20" s="76">
        <f t="shared" si="0"/>
        <v>11412338</v>
      </c>
      <c r="J20" s="195">
        <f t="shared" si="2"/>
        <v>0</v>
      </c>
      <c r="K20" s="212">
        <f t="shared" si="1"/>
        <v>11412338</v>
      </c>
      <c r="L20" s="78"/>
    </row>
    <row r="21" spans="1:12" ht="15" customHeight="1">
      <c r="A21" s="99" t="s">
        <v>267</v>
      </c>
      <c r="B21" s="73" t="s">
        <v>266</v>
      </c>
      <c r="C21" s="77">
        <v>11412338</v>
      </c>
      <c r="D21" s="77"/>
      <c r="E21" s="77"/>
      <c r="F21" s="113"/>
      <c r="G21" s="113"/>
      <c r="H21" s="113"/>
      <c r="I21" s="77">
        <f t="shared" si="0"/>
        <v>11412338</v>
      </c>
      <c r="J21" s="195">
        <f t="shared" si="2"/>
        <v>0</v>
      </c>
      <c r="K21" s="212">
        <f t="shared" si="1"/>
        <v>11412338</v>
      </c>
      <c r="L21" s="78"/>
    </row>
    <row r="22" spans="1:12" ht="15" customHeight="1">
      <c r="A22" s="100" t="s">
        <v>268</v>
      </c>
      <c r="B22" s="74" t="s">
        <v>269</v>
      </c>
      <c r="C22" s="76">
        <f>C23</f>
        <v>1068791</v>
      </c>
      <c r="D22" s="76"/>
      <c r="E22" s="77"/>
      <c r="F22" s="113"/>
      <c r="G22" s="113"/>
      <c r="H22" s="113"/>
      <c r="I22" s="76">
        <f t="shared" si="0"/>
        <v>1068791</v>
      </c>
      <c r="J22" s="195">
        <f t="shared" si="2"/>
        <v>0</v>
      </c>
      <c r="K22" s="212">
        <f t="shared" si="1"/>
        <v>1068791</v>
      </c>
      <c r="L22" s="78"/>
    </row>
    <row r="23" spans="1:12" ht="15" customHeight="1">
      <c r="A23" s="74" t="s">
        <v>270</v>
      </c>
      <c r="B23" s="74" t="s">
        <v>271</v>
      </c>
      <c r="C23" s="76">
        <f>C24+C27+C31</f>
        <v>1068791</v>
      </c>
      <c r="D23" s="76"/>
      <c r="E23" s="77"/>
      <c r="F23" s="113"/>
      <c r="G23" s="113"/>
      <c r="H23" s="113"/>
      <c r="I23" s="76">
        <f t="shared" si="0"/>
        <v>1068791</v>
      </c>
      <c r="J23" s="195">
        <f t="shared" si="2"/>
        <v>0</v>
      </c>
      <c r="K23" s="212">
        <f t="shared" si="1"/>
        <v>1068791</v>
      </c>
      <c r="L23" s="78"/>
    </row>
    <row r="24" spans="1:12" ht="15" customHeight="1">
      <c r="A24" s="74" t="s">
        <v>272</v>
      </c>
      <c r="B24" s="74" t="s">
        <v>273</v>
      </c>
      <c r="C24" s="76">
        <f>C25+C26</f>
        <v>927358</v>
      </c>
      <c r="D24" s="76"/>
      <c r="E24" s="77"/>
      <c r="F24" s="113"/>
      <c r="G24" s="113"/>
      <c r="H24" s="113"/>
      <c r="I24" s="76">
        <f t="shared" si="0"/>
        <v>927358</v>
      </c>
      <c r="J24" s="195">
        <f t="shared" si="2"/>
        <v>0</v>
      </c>
      <c r="K24" s="212">
        <f t="shared" si="1"/>
        <v>927358</v>
      </c>
      <c r="L24" s="78"/>
    </row>
    <row r="25" spans="1:12" ht="30" customHeight="1">
      <c r="A25" s="73" t="s">
        <v>274</v>
      </c>
      <c r="B25" s="72" t="s">
        <v>275</v>
      </c>
      <c r="C25" s="77">
        <v>837358</v>
      </c>
      <c r="D25" s="77"/>
      <c r="E25" s="77"/>
      <c r="F25" s="113"/>
      <c r="G25" s="113"/>
      <c r="H25" s="113"/>
      <c r="I25" s="77">
        <f t="shared" si="0"/>
        <v>837358</v>
      </c>
      <c r="J25" s="195">
        <f t="shared" si="2"/>
        <v>0</v>
      </c>
      <c r="K25" s="212">
        <f t="shared" si="1"/>
        <v>837358</v>
      </c>
      <c r="L25" s="78"/>
    </row>
    <row r="26" spans="1:12" ht="30" customHeight="1">
      <c r="A26" s="73" t="s">
        <v>276</v>
      </c>
      <c r="B26" s="72" t="s">
        <v>277</v>
      </c>
      <c r="C26" s="77">
        <v>90000</v>
      </c>
      <c r="D26" s="77"/>
      <c r="E26" s="77"/>
      <c r="F26" s="113"/>
      <c r="G26" s="113"/>
      <c r="H26" s="113"/>
      <c r="I26" s="77">
        <f t="shared" si="0"/>
        <v>90000</v>
      </c>
      <c r="J26" s="195">
        <f t="shared" si="2"/>
        <v>0</v>
      </c>
      <c r="K26" s="212">
        <f t="shared" si="1"/>
        <v>90000</v>
      </c>
      <c r="L26" s="78"/>
    </row>
    <row r="27" spans="1:12" ht="15" customHeight="1">
      <c r="A27" s="74" t="s">
        <v>278</v>
      </c>
      <c r="B27" s="74" t="s">
        <v>279</v>
      </c>
      <c r="C27" s="76">
        <f>C28+C30</f>
        <v>85579</v>
      </c>
      <c r="D27" s="76"/>
      <c r="E27" s="77"/>
      <c r="F27" s="113"/>
      <c r="G27" s="113"/>
      <c r="H27" s="113"/>
      <c r="I27" s="76">
        <f t="shared" si="0"/>
        <v>85579</v>
      </c>
      <c r="J27" s="195">
        <f t="shared" si="2"/>
        <v>0</v>
      </c>
      <c r="K27" s="212">
        <f t="shared" si="1"/>
        <v>85579</v>
      </c>
      <c r="L27" s="78"/>
    </row>
    <row r="28" spans="1:12" ht="30" customHeight="1">
      <c r="A28" s="73" t="s">
        <v>280</v>
      </c>
      <c r="B28" s="72" t="s">
        <v>281</v>
      </c>
      <c r="C28" s="77">
        <v>80579</v>
      </c>
      <c r="D28" s="77"/>
      <c r="E28" s="77"/>
      <c r="F28" s="113"/>
      <c r="G28" s="113"/>
      <c r="H28" s="113"/>
      <c r="I28" s="77">
        <f t="shared" si="0"/>
        <v>80579</v>
      </c>
      <c r="J28" s="167"/>
      <c r="K28" s="212">
        <f t="shared" si="1"/>
        <v>80579</v>
      </c>
      <c r="L28" s="78"/>
    </row>
    <row r="29" spans="1:12" ht="15" customHeight="1">
      <c r="A29" s="73"/>
      <c r="B29" s="72" t="s">
        <v>282</v>
      </c>
      <c r="C29" s="77">
        <v>4275</v>
      </c>
      <c r="D29" s="77"/>
      <c r="E29" s="77"/>
      <c r="F29" s="113"/>
      <c r="G29" s="113"/>
      <c r="H29" s="113"/>
      <c r="I29" s="77">
        <f t="shared" si="0"/>
        <v>4275</v>
      </c>
      <c r="J29" s="167"/>
      <c r="K29" s="212">
        <f t="shared" si="1"/>
        <v>4275</v>
      </c>
      <c r="L29" s="78"/>
    </row>
    <row r="30" spans="1:12" ht="30" customHeight="1">
      <c r="A30" s="73" t="s">
        <v>283</v>
      </c>
      <c r="B30" s="72" t="s">
        <v>284</v>
      </c>
      <c r="C30" s="77">
        <v>5000</v>
      </c>
      <c r="D30" s="77"/>
      <c r="E30" s="77"/>
      <c r="F30" s="113"/>
      <c r="G30" s="113"/>
      <c r="H30" s="113"/>
      <c r="I30" s="77">
        <f t="shared" si="0"/>
        <v>5000</v>
      </c>
      <c r="J30" s="167"/>
      <c r="K30" s="212">
        <f t="shared" si="1"/>
        <v>5000</v>
      </c>
      <c r="L30" s="78"/>
    </row>
    <row r="31" spans="1:12" ht="15" customHeight="1">
      <c r="A31" s="74" t="s">
        <v>285</v>
      </c>
      <c r="B31" s="75" t="s">
        <v>286</v>
      </c>
      <c r="C31" s="76">
        <f>C32+C33</f>
        <v>55854</v>
      </c>
      <c r="D31" s="76"/>
      <c r="E31" s="77"/>
      <c r="F31" s="113"/>
      <c r="G31" s="113"/>
      <c r="H31" s="113"/>
      <c r="I31" s="76">
        <f t="shared" si="0"/>
        <v>55854</v>
      </c>
      <c r="J31" s="167"/>
      <c r="K31" s="212">
        <f t="shared" si="1"/>
        <v>55854</v>
      </c>
      <c r="L31" s="78"/>
    </row>
    <row r="32" spans="1:12" ht="30" customHeight="1">
      <c r="A32" s="73" t="s">
        <v>287</v>
      </c>
      <c r="B32" s="72" t="s">
        <v>288</v>
      </c>
      <c r="C32" s="77">
        <v>45854</v>
      </c>
      <c r="D32" s="77"/>
      <c r="E32" s="77"/>
      <c r="F32" s="113"/>
      <c r="G32" s="113"/>
      <c r="H32" s="113"/>
      <c r="I32" s="77">
        <f t="shared" si="0"/>
        <v>45854</v>
      </c>
      <c r="J32" s="167"/>
      <c r="K32" s="212">
        <f t="shared" si="1"/>
        <v>45854</v>
      </c>
      <c r="L32" s="78"/>
    </row>
    <row r="33" spans="1:12" ht="30" customHeight="1">
      <c r="A33" s="73" t="s">
        <v>289</v>
      </c>
      <c r="B33" s="72" t="s">
        <v>290</v>
      </c>
      <c r="C33" s="77">
        <v>10000</v>
      </c>
      <c r="D33" s="77"/>
      <c r="E33" s="77"/>
      <c r="F33" s="113"/>
      <c r="G33" s="113"/>
      <c r="H33" s="113"/>
      <c r="I33" s="77">
        <f t="shared" si="0"/>
        <v>10000</v>
      </c>
      <c r="J33" s="167"/>
      <c r="K33" s="212">
        <f t="shared" si="1"/>
        <v>10000</v>
      </c>
      <c r="L33" s="78"/>
    </row>
    <row r="34" spans="1:12" ht="30" customHeight="1">
      <c r="A34" s="74" t="s">
        <v>291</v>
      </c>
      <c r="B34" s="75" t="s">
        <v>292</v>
      </c>
      <c r="C34" s="76">
        <f>C35+C37</f>
        <v>57000</v>
      </c>
      <c r="D34" s="76"/>
      <c r="E34" s="77"/>
      <c r="F34" s="113"/>
      <c r="G34" s="113"/>
      <c r="H34" s="113"/>
      <c r="I34" s="76">
        <f t="shared" si="0"/>
        <v>57000</v>
      </c>
      <c r="J34" s="195"/>
      <c r="K34" s="212">
        <f t="shared" si="1"/>
        <v>57000</v>
      </c>
      <c r="L34" s="78"/>
    </row>
    <row r="35" spans="1:12" ht="30" customHeight="1">
      <c r="A35" s="74" t="s">
        <v>293</v>
      </c>
      <c r="B35" s="75" t="s">
        <v>294</v>
      </c>
      <c r="C35" s="76">
        <f>C36</f>
        <v>7000</v>
      </c>
      <c r="D35" s="76"/>
      <c r="E35" s="77"/>
      <c r="F35" s="113"/>
      <c r="G35" s="113"/>
      <c r="H35" s="113"/>
      <c r="I35" s="76">
        <f>I36</f>
        <v>7000</v>
      </c>
      <c r="J35" s="167"/>
      <c r="K35" s="212">
        <f t="shared" si="1"/>
        <v>7000</v>
      </c>
      <c r="L35" s="78"/>
    </row>
    <row r="36" spans="1:12" ht="15" customHeight="1">
      <c r="A36" s="73" t="s">
        <v>295</v>
      </c>
      <c r="B36" s="73" t="s">
        <v>296</v>
      </c>
      <c r="C36" s="77">
        <v>7000</v>
      </c>
      <c r="D36" s="77"/>
      <c r="E36" s="77"/>
      <c r="F36" s="113"/>
      <c r="G36" s="113"/>
      <c r="H36" s="113"/>
      <c r="I36" s="77">
        <f>C36</f>
        <v>7000</v>
      </c>
      <c r="J36" s="167"/>
      <c r="K36" s="212">
        <f t="shared" si="1"/>
        <v>7000</v>
      </c>
      <c r="L36" s="78"/>
    </row>
    <row r="37" spans="1:12" ht="30" customHeight="1">
      <c r="A37" s="74" t="s">
        <v>297</v>
      </c>
      <c r="B37" s="75" t="s">
        <v>298</v>
      </c>
      <c r="C37" s="76">
        <f>C38</f>
        <v>50000</v>
      </c>
      <c r="D37" s="76"/>
      <c r="E37" s="76"/>
      <c r="F37" s="112"/>
      <c r="G37" s="112"/>
      <c r="H37" s="112"/>
      <c r="I37" s="76">
        <f>I38</f>
        <v>50000</v>
      </c>
      <c r="J37" s="167"/>
      <c r="K37" s="212">
        <f t="shared" si="1"/>
        <v>50000</v>
      </c>
      <c r="L37" s="78"/>
    </row>
    <row r="38" spans="1:12" ht="15" customHeight="1">
      <c r="A38" s="73" t="s">
        <v>299</v>
      </c>
      <c r="B38" s="73" t="s">
        <v>300</v>
      </c>
      <c r="C38" s="77">
        <v>50000</v>
      </c>
      <c r="D38" s="77"/>
      <c r="E38" s="77"/>
      <c r="F38" s="113"/>
      <c r="G38" s="113"/>
      <c r="H38" s="113"/>
      <c r="I38" s="77">
        <f>C38</f>
        <v>50000</v>
      </c>
      <c r="J38" s="167"/>
      <c r="K38" s="212">
        <f t="shared" si="1"/>
        <v>50000</v>
      </c>
      <c r="L38" s="78"/>
    </row>
    <row r="39" spans="1:12" ht="15" customHeight="1">
      <c r="A39" s="74">
        <v>2</v>
      </c>
      <c r="B39" s="74" t="s">
        <v>301</v>
      </c>
      <c r="C39" s="76">
        <f>C42+C56+C60+C69+C40</f>
        <v>598844</v>
      </c>
      <c r="D39" s="76"/>
      <c r="E39" s="77"/>
      <c r="F39" s="113"/>
      <c r="G39" s="113"/>
      <c r="H39" s="113"/>
      <c r="I39" s="76">
        <f>C39</f>
        <v>598844</v>
      </c>
      <c r="J39" s="167"/>
      <c r="K39" s="212">
        <f t="shared" si="1"/>
        <v>598844</v>
      </c>
      <c r="L39" s="78"/>
    </row>
    <row r="40" spans="1:12" ht="15" customHeight="1">
      <c r="A40" s="74" t="s">
        <v>302</v>
      </c>
      <c r="B40" s="74" t="s">
        <v>303</v>
      </c>
      <c r="C40" s="76">
        <f>C41</f>
        <v>6600</v>
      </c>
      <c r="D40" s="76"/>
      <c r="E40" s="76"/>
      <c r="F40" s="112"/>
      <c r="G40" s="112"/>
      <c r="H40" s="112"/>
      <c r="I40" s="76">
        <f>I41</f>
        <v>6600</v>
      </c>
      <c r="J40" s="195"/>
      <c r="K40" s="212">
        <f t="shared" si="1"/>
        <v>6600</v>
      </c>
      <c r="L40" s="78"/>
    </row>
    <row r="41" spans="1:12" ht="30" customHeight="1">
      <c r="A41" s="73" t="s">
        <v>304</v>
      </c>
      <c r="B41" s="72" t="s">
        <v>305</v>
      </c>
      <c r="C41" s="77">
        <v>6600</v>
      </c>
      <c r="D41" s="77"/>
      <c r="E41" s="77"/>
      <c r="F41" s="113"/>
      <c r="G41" s="113"/>
      <c r="H41" s="113"/>
      <c r="I41" s="77">
        <f t="shared" si="3" ref="I41:I61">C41</f>
        <v>6600</v>
      </c>
      <c r="J41" s="167"/>
      <c r="K41" s="212">
        <f t="shared" si="1"/>
        <v>6600</v>
      </c>
      <c r="L41" s="78"/>
    </row>
    <row r="42" spans="1:12" s="67" customFormat="1" ht="30" customHeight="1">
      <c r="A42" s="74" t="s">
        <v>306</v>
      </c>
      <c r="B42" s="75" t="s">
        <v>307</v>
      </c>
      <c r="C42" s="76">
        <f>C43+C50</f>
        <v>15585</v>
      </c>
      <c r="D42" s="76"/>
      <c r="E42" s="76"/>
      <c r="F42" s="112"/>
      <c r="G42" s="112"/>
      <c r="H42" s="112"/>
      <c r="I42" s="76">
        <f t="shared" si="3"/>
        <v>15585</v>
      </c>
      <c r="J42" s="196"/>
      <c r="K42" s="212">
        <f t="shared" si="1"/>
        <v>15585</v>
      </c>
      <c r="L42" s="78"/>
    </row>
    <row r="43" spans="1:12" s="67" customFormat="1" ht="15" customHeight="1">
      <c r="A43" s="74" t="s">
        <v>308</v>
      </c>
      <c r="B43" s="75" t="s">
        <v>309</v>
      </c>
      <c r="C43" s="76">
        <f>C44+C46+C48+C45+C47</f>
        <v>11185</v>
      </c>
      <c r="D43" s="76"/>
      <c r="E43" s="76"/>
      <c r="F43" s="112"/>
      <c r="G43" s="112"/>
      <c r="H43" s="112"/>
      <c r="I43" s="76">
        <f t="shared" si="3"/>
        <v>11185</v>
      </c>
      <c r="J43" s="182"/>
      <c r="K43" s="212">
        <f t="shared" si="1"/>
        <v>11185</v>
      </c>
      <c r="L43" s="78"/>
    </row>
    <row r="44" spans="1:12" ht="30" customHeight="1">
      <c r="A44" s="73" t="s">
        <v>310</v>
      </c>
      <c r="B44" s="72" t="s">
        <v>311</v>
      </c>
      <c r="C44" s="77">
        <v>9000</v>
      </c>
      <c r="D44" s="77"/>
      <c r="E44" s="77"/>
      <c r="F44" s="113"/>
      <c r="G44" s="113"/>
      <c r="H44" s="113"/>
      <c r="I44" s="77">
        <f t="shared" si="3"/>
        <v>9000</v>
      </c>
      <c r="J44" s="167"/>
      <c r="K44" s="212">
        <f t="shared" si="1"/>
        <v>9000</v>
      </c>
      <c r="L44" s="78"/>
    </row>
    <row r="45" spans="1:12" ht="30" customHeight="1">
      <c r="A45" s="73" t="s">
        <v>636</v>
      </c>
      <c r="B45" s="72" t="s">
        <v>637</v>
      </c>
      <c r="C45" s="77">
        <v>300</v>
      </c>
      <c r="D45" s="77"/>
      <c r="E45" s="77"/>
      <c r="F45" s="113"/>
      <c r="G45" s="113"/>
      <c r="H45" s="113"/>
      <c r="I45" s="77">
        <f t="shared" si="3"/>
        <v>300</v>
      </c>
      <c r="J45" s="167"/>
      <c r="K45" s="212">
        <f t="shared" si="1"/>
        <v>300</v>
      </c>
      <c r="L45" s="78"/>
    </row>
    <row r="46" spans="1:12" ht="30" customHeight="1">
      <c r="A46" s="73" t="s">
        <v>312</v>
      </c>
      <c r="B46" s="72" t="s">
        <v>313</v>
      </c>
      <c r="C46" s="77">
        <v>1400</v>
      </c>
      <c r="D46" s="77"/>
      <c r="E46" s="77"/>
      <c r="F46" s="113"/>
      <c r="G46" s="113"/>
      <c r="H46" s="113"/>
      <c r="I46" s="77">
        <f t="shared" si="3"/>
        <v>1400</v>
      </c>
      <c r="J46" s="167"/>
      <c r="K46" s="212">
        <f t="shared" si="1"/>
        <v>1400</v>
      </c>
      <c r="L46" s="78"/>
    </row>
    <row r="47" spans="1:12" ht="18" customHeight="1">
      <c r="A47" s="73" t="s">
        <v>638</v>
      </c>
      <c r="B47" s="109" t="s">
        <v>639</v>
      </c>
      <c r="C47" s="77">
        <v>285</v>
      </c>
      <c r="D47" s="77"/>
      <c r="E47" s="77"/>
      <c r="F47" s="113"/>
      <c r="G47" s="113"/>
      <c r="H47" s="113"/>
      <c r="I47" s="77">
        <f t="shared" si="3"/>
        <v>285</v>
      </c>
      <c r="J47" s="167"/>
      <c r="K47" s="212">
        <f t="shared" si="1"/>
        <v>285</v>
      </c>
      <c r="L47" s="78"/>
    </row>
    <row r="48" spans="1:12" ht="30" customHeight="1">
      <c r="A48" s="73" t="s">
        <v>314</v>
      </c>
      <c r="B48" s="72" t="s">
        <v>315</v>
      </c>
      <c r="C48" s="77">
        <f>C49</f>
        <v>200</v>
      </c>
      <c r="D48" s="77"/>
      <c r="E48" s="77"/>
      <c r="F48" s="113"/>
      <c r="G48" s="113"/>
      <c r="H48" s="113"/>
      <c r="I48" s="77">
        <f t="shared" si="3"/>
        <v>200</v>
      </c>
      <c r="J48" s="167"/>
      <c r="K48" s="212">
        <f t="shared" si="1"/>
        <v>200</v>
      </c>
      <c r="L48" s="78"/>
    </row>
    <row r="49" spans="1:12" ht="15" customHeight="1">
      <c r="A49" s="73" t="s">
        <v>316</v>
      </c>
      <c r="B49" s="72" t="s">
        <v>317</v>
      </c>
      <c r="C49" s="77">
        <v>200</v>
      </c>
      <c r="D49" s="77"/>
      <c r="E49" s="77"/>
      <c r="F49" s="113"/>
      <c r="G49" s="113"/>
      <c r="H49" s="113"/>
      <c r="I49" s="77">
        <f t="shared" si="3"/>
        <v>200</v>
      </c>
      <c r="J49" s="167"/>
      <c r="K49" s="212">
        <f t="shared" si="1"/>
        <v>200</v>
      </c>
      <c r="L49" s="78"/>
    </row>
    <row r="50" spans="1:12" ht="15" customHeight="1">
      <c r="A50" s="74" t="s">
        <v>318</v>
      </c>
      <c r="B50" s="74" t="s">
        <v>319</v>
      </c>
      <c r="C50" s="76">
        <f>C51+C52+C53+C54+C55</f>
        <v>4400</v>
      </c>
      <c r="D50" s="76"/>
      <c r="E50" s="77"/>
      <c r="F50" s="113"/>
      <c r="G50" s="113"/>
      <c r="H50" s="113"/>
      <c r="I50" s="76">
        <f t="shared" si="3"/>
        <v>4400</v>
      </c>
      <c r="J50" s="167"/>
      <c r="K50" s="212">
        <f t="shared" si="1"/>
        <v>4400</v>
      </c>
      <c r="L50" s="78"/>
    </row>
    <row r="51" spans="1:12" ht="30" customHeight="1">
      <c r="A51" s="73" t="s">
        <v>320</v>
      </c>
      <c r="B51" s="72" t="s">
        <v>321</v>
      </c>
      <c r="C51" s="77">
        <v>100</v>
      </c>
      <c r="D51" s="77"/>
      <c r="E51" s="77"/>
      <c r="F51" s="113"/>
      <c r="G51" s="113"/>
      <c r="H51" s="113"/>
      <c r="I51" s="77">
        <f t="shared" si="3"/>
        <v>100</v>
      </c>
      <c r="J51" s="167"/>
      <c r="K51" s="212">
        <f t="shared" si="1"/>
        <v>100</v>
      </c>
      <c r="L51" s="78"/>
    </row>
    <row r="52" spans="1:12" ht="15" customHeight="1">
      <c r="A52" s="73" t="s">
        <v>322</v>
      </c>
      <c r="B52" s="72" t="s">
        <v>323</v>
      </c>
      <c r="C52" s="77">
        <v>1100</v>
      </c>
      <c r="D52" s="77"/>
      <c r="E52" s="77"/>
      <c r="F52" s="113"/>
      <c r="G52" s="113"/>
      <c r="H52" s="113"/>
      <c r="I52" s="77">
        <f t="shared" si="3"/>
        <v>1100</v>
      </c>
      <c r="J52" s="167"/>
      <c r="K52" s="212">
        <f t="shared" si="1"/>
        <v>1100</v>
      </c>
      <c r="L52" s="78"/>
    </row>
    <row r="53" spans="1:12" ht="30" customHeight="1">
      <c r="A53" s="73" t="s">
        <v>324</v>
      </c>
      <c r="B53" s="72" t="s">
        <v>325</v>
      </c>
      <c r="C53" s="77">
        <v>100</v>
      </c>
      <c r="D53" s="77"/>
      <c r="E53" s="77"/>
      <c r="F53" s="113"/>
      <c r="G53" s="113"/>
      <c r="H53" s="113"/>
      <c r="I53" s="77">
        <f t="shared" si="3"/>
        <v>100</v>
      </c>
      <c r="J53" s="167"/>
      <c r="K53" s="212">
        <f t="shared" si="1"/>
        <v>100</v>
      </c>
      <c r="L53" s="78"/>
    </row>
    <row r="54" spans="1:12" ht="15" customHeight="1">
      <c r="A54" s="73" t="s">
        <v>326</v>
      </c>
      <c r="B54" s="72" t="s">
        <v>327</v>
      </c>
      <c r="C54" s="77">
        <v>3000</v>
      </c>
      <c r="D54" s="77"/>
      <c r="E54" s="77"/>
      <c r="F54" s="113"/>
      <c r="G54" s="113"/>
      <c r="H54" s="113"/>
      <c r="I54" s="77">
        <f t="shared" si="3"/>
        <v>3000</v>
      </c>
      <c r="J54" s="167"/>
      <c r="K54" s="212">
        <f t="shared" si="1"/>
        <v>3000</v>
      </c>
      <c r="L54" s="78"/>
    </row>
    <row r="55" spans="1:12" ht="15" customHeight="1">
      <c r="A55" s="73" t="s">
        <v>328</v>
      </c>
      <c r="B55" s="72" t="s">
        <v>329</v>
      </c>
      <c r="C55" s="77">
        <v>100</v>
      </c>
      <c r="D55" s="77"/>
      <c r="E55" s="77"/>
      <c r="F55" s="113"/>
      <c r="G55" s="113"/>
      <c r="H55" s="113"/>
      <c r="I55" s="77">
        <f t="shared" si="3"/>
        <v>100</v>
      </c>
      <c r="J55" s="167"/>
      <c r="K55" s="212">
        <f t="shared" si="1"/>
        <v>100</v>
      </c>
      <c r="L55" s="78"/>
    </row>
    <row r="56" spans="1:12" ht="15" customHeight="1">
      <c r="A56" s="74" t="s">
        <v>330</v>
      </c>
      <c r="B56" s="74" t="s">
        <v>331</v>
      </c>
      <c r="C56" s="76">
        <f>C57+C59</f>
        <v>2000</v>
      </c>
      <c r="D56" s="76"/>
      <c r="E56" s="77"/>
      <c r="F56" s="113"/>
      <c r="G56" s="113"/>
      <c r="H56" s="113"/>
      <c r="I56" s="76">
        <f t="shared" si="3"/>
        <v>2000</v>
      </c>
      <c r="J56" s="167"/>
      <c r="K56" s="212">
        <f t="shared" si="1"/>
        <v>2000</v>
      </c>
      <c r="L56" s="78"/>
    </row>
    <row r="57" spans="1:12" ht="15" customHeight="1">
      <c r="A57" s="73" t="s">
        <v>332</v>
      </c>
      <c r="B57" s="72" t="s">
        <v>333</v>
      </c>
      <c r="C57" s="77">
        <f>C58</f>
        <v>1500</v>
      </c>
      <c r="D57" s="77"/>
      <c r="E57" s="77"/>
      <c r="F57" s="113"/>
      <c r="G57" s="113"/>
      <c r="H57" s="113"/>
      <c r="I57" s="77">
        <f t="shared" si="3"/>
        <v>1500</v>
      </c>
      <c r="J57" s="167"/>
      <c r="K57" s="212">
        <f t="shared" si="1"/>
        <v>1500</v>
      </c>
      <c r="L57" s="78"/>
    </row>
    <row r="58" spans="1:12" ht="30" customHeight="1">
      <c r="A58" s="73" t="s">
        <v>334</v>
      </c>
      <c r="B58" s="72" t="s">
        <v>335</v>
      </c>
      <c r="C58" s="77">
        <v>1500</v>
      </c>
      <c r="D58" s="77"/>
      <c r="E58" s="77"/>
      <c r="F58" s="113"/>
      <c r="G58" s="113"/>
      <c r="H58" s="113"/>
      <c r="I58" s="77">
        <f t="shared" si="3"/>
        <v>1500</v>
      </c>
      <c r="J58" s="167"/>
      <c r="K58" s="212">
        <f t="shared" si="1"/>
        <v>1500</v>
      </c>
      <c r="L58" s="78"/>
    </row>
    <row r="59" spans="1:12" ht="30" customHeight="1">
      <c r="A59" s="73" t="s">
        <v>336</v>
      </c>
      <c r="B59" s="72" t="s">
        <v>337</v>
      </c>
      <c r="C59" s="77">
        <v>500</v>
      </c>
      <c r="D59" s="77"/>
      <c r="E59" s="77"/>
      <c r="F59" s="113"/>
      <c r="G59" s="113"/>
      <c r="H59" s="113"/>
      <c r="I59" s="77">
        <f t="shared" si="3"/>
        <v>500</v>
      </c>
      <c r="J59" s="167"/>
      <c r="K59" s="212">
        <f t="shared" si="1"/>
        <v>500</v>
      </c>
      <c r="L59" s="78"/>
    </row>
    <row r="60" spans="1:12" ht="15" customHeight="1">
      <c r="A60" s="74" t="s">
        <v>338</v>
      </c>
      <c r="B60" s="75" t="s">
        <v>339</v>
      </c>
      <c r="C60" s="76">
        <f>C61</f>
        <v>44659</v>
      </c>
      <c r="D60" s="76"/>
      <c r="E60" s="76"/>
      <c r="F60" s="112"/>
      <c r="G60" s="113"/>
      <c r="H60" s="113"/>
      <c r="I60" s="76">
        <f t="shared" si="3"/>
        <v>44659</v>
      </c>
      <c r="J60" s="195"/>
      <c r="K60" s="212">
        <f t="shared" si="1"/>
        <v>44659</v>
      </c>
      <c r="L60" s="78"/>
    </row>
    <row r="61" spans="1:12" ht="30" customHeight="1">
      <c r="A61" s="73" t="s">
        <v>340</v>
      </c>
      <c r="B61" s="72" t="s">
        <v>341</v>
      </c>
      <c r="C61" s="77">
        <f>C62</f>
        <v>44659</v>
      </c>
      <c r="D61" s="77"/>
      <c r="E61" s="77"/>
      <c r="F61" s="113"/>
      <c r="G61" s="113"/>
      <c r="H61" s="113"/>
      <c r="I61" s="77">
        <f t="shared" si="3"/>
        <v>44659</v>
      </c>
      <c r="J61" s="167"/>
      <c r="K61" s="212">
        <f t="shared" si="1"/>
        <v>44659</v>
      </c>
      <c r="L61" s="78"/>
    </row>
    <row r="62" spans="1:12" ht="15" customHeight="1">
      <c r="A62" s="73" t="s">
        <v>342</v>
      </c>
      <c r="B62" s="72" t="s">
        <v>343</v>
      </c>
      <c r="C62" s="77">
        <f>SUM(C63:C68)</f>
        <v>44659</v>
      </c>
      <c r="D62" s="77"/>
      <c r="E62" s="77"/>
      <c r="F62" s="113"/>
      <c r="G62" s="113"/>
      <c r="H62" s="113"/>
      <c r="I62" s="77">
        <f>SUM(I63:I68)</f>
        <v>44659</v>
      </c>
      <c r="J62" s="167"/>
      <c r="K62" s="212">
        <f t="shared" si="1"/>
        <v>44659</v>
      </c>
      <c r="L62" s="78"/>
    </row>
    <row r="63" spans="1:12" ht="15" customHeight="1">
      <c r="A63" s="73"/>
      <c r="B63" s="73" t="s">
        <v>199</v>
      </c>
      <c r="C63" s="77">
        <v>4000</v>
      </c>
      <c r="D63" s="77"/>
      <c r="E63" s="77"/>
      <c r="F63" s="113"/>
      <c r="G63" s="113"/>
      <c r="H63" s="113"/>
      <c r="I63" s="77">
        <f t="shared" si="4" ref="I63:I68">C63</f>
        <v>4000</v>
      </c>
      <c r="J63" s="167"/>
      <c r="K63" s="212">
        <f t="shared" si="1"/>
        <v>4000</v>
      </c>
      <c r="L63" s="78"/>
    </row>
    <row r="64" spans="1:12" ht="15" customHeight="1">
      <c r="A64" s="73"/>
      <c r="B64" s="73" t="s">
        <v>344</v>
      </c>
      <c r="C64" s="77">
        <v>1835</v>
      </c>
      <c r="D64" s="77"/>
      <c r="E64" s="77"/>
      <c r="F64" s="113"/>
      <c r="G64" s="113"/>
      <c r="H64" s="113"/>
      <c r="I64" s="77">
        <f t="shared" si="4"/>
        <v>1835</v>
      </c>
      <c r="J64" s="167"/>
      <c r="K64" s="212">
        <f t="shared" si="1"/>
        <v>1835</v>
      </c>
      <c r="L64" s="78"/>
    </row>
    <row r="65" spans="1:12" ht="15" customHeight="1">
      <c r="A65" s="73"/>
      <c r="B65" s="72" t="s">
        <v>33</v>
      </c>
      <c r="C65" s="77">
        <v>420</v>
      </c>
      <c r="D65" s="77"/>
      <c r="E65" s="77"/>
      <c r="F65" s="113"/>
      <c r="G65" s="113"/>
      <c r="H65" s="113"/>
      <c r="I65" s="77">
        <f t="shared" si="4"/>
        <v>420</v>
      </c>
      <c r="J65" s="167"/>
      <c r="K65" s="212">
        <f t="shared" si="1"/>
        <v>420</v>
      </c>
      <c r="L65" s="78"/>
    </row>
    <row r="66" spans="1:12" ht="15" customHeight="1">
      <c r="A66" s="73"/>
      <c r="B66" s="72" t="s">
        <v>49</v>
      </c>
      <c r="C66" s="77">
        <v>13052</v>
      </c>
      <c r="D66" s="77"/>
      <c r="E66" s="77"/>
      <c r="F66" s="113"/>
      <c r="G66" s="113"/>
      <c r="H66" s="113"/>
      <c r="I66" s="77">
        <f t="shared" si="4"/>
        <v>13052</v>
      </c>
      <c r="J66" s="167"/>
      <c r="K66" s="212">
        <f t="shared" si="1"/>
        <v>13052</v>
      </c>
      <c r="L66" s="78"/>
    </row>
    <row r="67" spans="1:12" ht="15" customHeight="1">
      <c r="A67" s="73"/>
      <c r="B67" s="72" t="s">
        <v>117</v>
      </c>
      <c r="C67" s="77">
        <v>9323</v>
      </c>
      <c r="D67" s="77"/>
      <c r="E67" s="77"/>
      <c r="F67" s="113"/>
      <c r="G67" s="113"/>
      <c r="H67" s="113"/>
      <c r="I67" s="77">
        <f t="shared" si="4"/>
        <v>9323</v>
      </c>
      <c r="J67" s="167"/>
      <c r="K67" s="212">
        <f t="shared" si="1"/>
        <v>9323</v>
      </c>
      <c r="L67" s="78"/>
    </row>
    <row r="68" spans="1:12" ht="30" customHeight="1">
      <c r="A68" s="73"/>
      <c r="B68" s="72" t="s">
        <v>345</v>
      </c>
      <c r="C68" s="103">
        <v>16029</v>
      </c>
      <c r="D68" s="103"/>
      <c r="E68" s="77"/>
      <c r="F68" s="113"/>
      <c r="G68" s="113"/>
      <c r="H68" s="113"/>
      <c r="I68" s="77">
        <f t="shared" si="4"/>
        <v>16029</v>
      </c>
      <c r="J68" s="167"/>
      <c r="K68" s="212">
        <f t="shared" si="1"/>
        <v>16029</v>
      </c>
      <c r="L68" s="78"/>
    </row>
    <row r="69" spans="1:12" ht="30" customHeight="1">
      <c r="A69" s="74" t="s">
        <v>346</v>
      </c>
      <c r="B69" s="75" t="s">
        <v>347</v>
      </c>
      <c r="C69" s="76">
        <f>C70+C71</f>
        <v>530000</v>
      </c>
      <c r="D69" s="76"/>
      <c r="E69" s="77"/>
      <c r="F69" s="113"/>
      <c r="G69" s="113"/>
      <c r="H69" s="113"/>
      <c r="I69" s="76">
        <f>I70+I71</f>
        <v>530000</v>
      </c>
      <c r="J69" s="195"/>
      <c r="K69" s="212">
        <f t="shared" si="1"/>
        <v>530000</v>
      </c>
      <c r="L69" s="78"/>
    </row>
    <row r="70" spans="1:12" ht="15" customHeight="1">
      <c r="A70" s="73" t="s">
        <v>348</v>
      </c>
      <c r="B70" s="72" t="s">
        <v>349</v>
      </c>
      <c r="C70" s="77">
        <v>30000</v>
      </c>
      <c r="D70" s="77"/>
      <c r="E70" s="77"/>
      <c r="F70" s="113"/>
      <c r="G70" s="113"/>
      <c r="H70" s="113"/>
      <c r="I70" s="77">
        <f>C70</f>
        <v>30000</v>
      </c>
      <c r="J70" s="167"/>
      <c r="K70" s="212">
        <f t="shared" si="1"/>
        <v>30000</v>
      </c>
      <c r="L70" s="78"/>
    </row>
    <row r="71" spans="1:12" ht="15" customHeight="1">
      <c r="A71" s="73" t="s">
        <v>350</v>
      </c>
      <c r="B71" s="73" t="s">
        <v>351</v>
      </c>
      <c r="C71" s="77">
        <f>C72+C73</f>
        <v>500000</v>
      </c>
      <c r="D71" s="77"/>
      <c r="E71" s="77"/>
      <c r="F71" s="113"/>
      <c r="G71" s="113"/>
      <c r="H71" s="113"/>
      <c r="I71" s="77">
        <f>C71</f>
        <v>500000</v>
      </c>
      <c r="J71" s="167"/>
      <c r="K71" s="212">
        <f t="shared" si="1"/>
        <v>500000</v>
      </c>
      <c r="L71" s="78"/>
    </row>
    <row r="72" spans="1:12" ht="15" customHeight="1">
      <c r="A72" s="73" t="s">
        <v>352</v>
      </c>
      <c r="B72" s="73" t="s">
        <v>353</v>
      </c>
      <c r="C72" s="77">
        <v>500000</v>
      </c>
      <c r="D72" s="77"/>
      <c r="E72" s="77"/>
      <c r="F72" s="113"/>
      <c r="G72" s="113"/>
      <c r="H72" s="113"/>
      <c r="I72" s="77">
        <f>C72</f>
        <v>500000</v>
      </c>
      <c r="J72" s="167"/>
      <c r="K72" s="212">
        <f t="shared" si="1"/>
        <v>500000</v>
      </c>
      <c r="L72" s="78"/>
    </row>
    <row r="73" spans="1:12" ht="0.75" customHeight="1" hidden="1">
      <c r="A73" s="73" t="s">
        <v>354</v>
      </c>
      <c r="B73" s="73" t="s">
        <v>355</v>
      </c>
      <c r="C73" s="77"/>
      <c r="D73" s="77"/>
      <c r="E73" s="77"/>
      <c r="F73" s="113"/>
      <c r="G73" s="113"/>
      <c r="H73" s="113"/>
      <c r="I73" s="77">
        <f>C73</f>
        <v>0</v>
      </c>
      <c r="J73" s="167"/>
      <c r="K73" s="212">
        <f t="shared" si="1"/>
        <v>0</v>
      </c>
      <c r="L73" s="78"/>
    </row>
    <row r="74" spans="1:12" ht="47.1" customHeight="1">
      <c r="A74" s="74" t="s">
        <v>356</v>
      </c>
      <c r="B74" s="75" t="s">
        <v>357</v>
      </c>
      <c r="C74" s="76"/>
      <c r="D74" s="76"/>
      <c r="E74" s="76"/>
      <c r="F74" s="112"/>
      <c r="G74" s="112">
        <f>G75</f>
        <v>8000</v>
      </c>
      <c r="H74" s="112"/>
      <c r="I74" s="76">
        <f>G74</f>
        <v>8000</v>
      </c>
      <c r="J74" s="195"/>
      <c r="K74" s="212">
        <f t="shared" si="1"/>
        <v>8000</v>
      </c>
      <c r="L74" s="78"/>
    </row>
    <row r="75" spans="1:12" ht="30.6" customHeight="1">
      <c r="A75" s="73" t="s">
        <v>606</v>
      </c>
      <c r="B75" s="104" t="s">
        <v>608</v>
      </c>
      <c r="C75" s="76"/>
      <c r="D75" s="76"/>
      <c r="E75" s="76"/>
      <c r="F75" s="112"/>
      <c r="G75" s="113">
        <v>8000</v>
      </c>
      <c r="H75" s="113"/>
      <c r="I75" s="77">
        <f>G75</f>
        <v>8000</v>
      </c>
      <c r="J75" s="167"/>
      <c r="K75" s="212">
        <f t="shared" si="1"/>
        <v>8000</v>
      </c>
      <c r="L75" s="78"/>
    </row>
    <row r="76" spans="1:12" ht="15" customHeight="1">
      <c r="A76" s="74" t="s">
        <v>359</v>
      </c>
      <c r="B76" s="74" t="s">
        <v>360</v>
      </c>
      <c r="C76" s="76"/>
      <c r="D76" s="76"/>
      <c r="E76" s="76"/>
      <c r="F76" s="112"/>
      <c r="G76" s="112">
        <f>G77+G137+G124</f>
        <v>18261306</v>
      </c>
      <c r="H76" s="112">
        <f>H77+H137+H124</f>
        <v>135012</v>
      </c>
      <c r="I76" s="76">
        <f>G76</f>
        <v>18261306</v>
      </c>
      <c r="J76" s="76">
        <f>H76</f>
        <v>135012</v>
      </c>
      <c r="K76" s="212">
        <f t="shared" si="1"/>
        <v>18396318</v>
      </c>
      <c r="L76" s="78"/>
    </row>
    <row r="77" spans="1:12" ht="30" customHeight="1">
      <c r="A77" s="74" t="s">
        <v>361</v>
      </c>
      <c r="B77" s="75" t="s">
        <v>362</v>
      </c>
      <c r="C77" s="76"/>
      <c r="D77" s="76"/>
      <c r="E77" s="76"/>
      <c r="F77" s="112"/>
      <c r="G77" s="112">
        <f>SUM(G78:G123)-G104</f>
        <v>8688014</v>
      </c>
      <c r="H77" s="112">
        <f>SUM(H78:H123)-H104-H93</f>
        <v>110912</v>
      </c>
      <c r="I77" s="76">
        <f>G77</f>
        <v>8688014</v>
      </c>
      <c r="J77" s="196">
        <f>H77</f>
        <v>110912</v>
      </c>
      <c r="K77" s="212">
        <f t="shared" si="1"/>
        <v>8798926</v>
      </c>
      <c r="L77" s="78"/>
    </row>
    <row r="78" spans="1:12" ht="42.75" customHeight="1">
      <c r="A78" s="73"/>
      <c r="B78" s="72" t="s">
        <v>635</v>
      </c>
      <c r="C78" s="76"/>
      <c r="D78" s="76"/>
      <c r="E78" s="76"/>
      <c r="F78" s="112"/>
      <c r="G78" s="113">
        <v>484247</v>
      </c>
      <c r="H78" s="113"/>
      <c r="I78" s="77">
        <f t="shared" si="5" ref="I78:I88">G78</f>
        <v>484247</v>
      </c>
      <c r="J78" s="167"/>
      <c r="K78" s="212">
        <f t="shared" si="1"/>
        <v>484247</v>
      </c>
      <c r="L78" s="78"/>
    </row>
    <row r="79" spans="1:12" ht="52.5" customHeight="1">
      <c r="A79" s="73"/>
      <c r="B79" s="72" t="s">
        <v>363</v>
      </c>
      <c r="C79" s="77"/>
      <c r="D79" s="77"/>
      <c r="E79" s="77"/>
      <c r="F79" s="113"/>
      <c r="G79" s="113">
        <v>3335864</v>
      </c>
      <c r="H79" s="113"/>
      <c r="I79" s="77">
        <f t="shared" si="5"/>
        <v>3335864</v>
      </c>
      <c r="J79" s="167"/>
      <c r="K79" s="212">
        <f t="shared" si="1"/>
        <v>3335864</v>
      </c>
      <c r="L79" s="78"/>
    </row>
    <row r="80" spans="1:12" ht="60" customHeight="1">
      <c r="A80" s="73"/>
      <c r="B80" s="72" t="s">
        <v>364</v>
      </c>
      <c r="C80" s="77"/>
      <c r="D80" s="77"/>
      <c r="E80" s="77"/>
      <c r="F80" s="113"/>
      <c r="G80" s="113">
        <v>201376</v>
      </c>
      <c r="H80" s="113"/>
      <c r="I80" s="77">
        <f t="shared" si="5"/>
        <v>201376</v>
      </c>
      <c r="J80" s="167"/>
      <c r="K80" s="212">
        <f t="shared" si="1"/>
        <v>201376</v>
      </c>
      <c r="L80" s="78"/>
    </row>
    <row r="81" spans="1:12" ht="45" customHeight="1">
      <c r="A81" s="73"/>
      <c r="B81" s="72" t="s">
        <v>365</v>
      </c>
      <c r="C81" s="77"/>
      <c r="D81" s="77"/>
      <c r="E81" s="77"/>
      <c r="F81" s="113"/>
      <c r="G81" s="113">
        <v>185389</v>
      </c>
      <c r="H81" s="113"/>
      <c r="I81" s="77">
        <f t="shared" si="5"/>
        <v>185389</v>
      </c>
      <c r="J81" s="167"/>
      <c r="K81" s="212">
        <f t="shared" si="1"/>
        <v>185389</v>
      </c>
      <c r="L81" s="78"/>
    </row>
    <row r="82" spans="1:12" ht="60" customHeight="1">
      <c r="A82" s="73"/>
      <c r="B82" s="72" t="s">
        <v>366</v>
      </c>
      <c r="C82" s="77"/>
      <c r="D82" s="77"/>
      <c r="E82" s="77"/>
      <c r="F82" s="113"/>
      <c r="G82" s="113">
        <v>536518</v>
      </c>
      <c r="H82" s="113"/>
      <c r="I82" s="77">
        <f t="shared" si="5"/>
        <v>536518</v>
      </c>
      <c r="J82" s="167"/>
      <c r="K82" s="212">
        <f t="shared" si="6" ref="K82:K159">I82+J82</f>
        <v>536518</v>
      </c>
      <c r="L82" s="78"/>
    </row>
    <row r="83" spans="1:12" ht="30" customHeight="1">
      <c r="A83" s="73"/>
      <c r="B83" s="82" t="s">
        <v>367</v>
      </c>
      <c r="C83" s="77"/>
      <c r="D83" s="77"/>
      <c r="E83" s="77"/>
      <c r="F83" s="113"/>
      <c r="G83" s="113">
        <v>20951</v>
      </c>
      <c r="H83" s="113"/>
      <c r="I83" s="77">
        <f t="shared" si="5"/>
        <v>20951</v>
      </c>
      <c r="J83" s="167"/>
      <c r="K83" s="212">
        <f t="shared" si="6"/>
        <v>20951</v>
      </c>
      <c r="L83" s="78"/>
    </row>
    <row r="84" spans="1:12" ht="15" customHeight="1">
      <c r="A84" s="73"/>
      <c r="B84" s="72" t="s">
        <v>368</v>
      </c>
      <c r="C84" s="77"/>
      <c r="D84" s="77"/>
      <c r="E84" s="77"/>
      <c r="F84" s="113"/>
      <c r="G84" s="113">
        <f>956808+62399+10381</f>
        <v>1029588</v>
      </c>
      <c r="H84" s="113"/>
      <c r="I84" s="77">
        <f t="shared" si="5"/>
        <v>1029588</v>
      </c>
      <c r="J84" s="167"/>
      <c r="K84" s="212">
        <f t="shared" si="6"/>
        <v>1029588</v>
      </c>
      <c r="L84" s="78"/>
    </row>
    <row r="85" spans="1:12" ht="15" customHeight="1">
      <c r="A85" s="73"/>
      <c r="B85" s="73" t="s">
        <v>369</v>
      </c>
      <c r="C85" s="77"/>
      <c r="D85" s="77"/>
      <c r="E85" s="77"/>
      <c r="F85" s="113"/>
      <c r="G85" s="113">
        <v>393332</v>
      </c>
      <c r="H85" s="113"/>
      <c r="I85" s="77">
        <f t="shared" si="5"/>
        <v>393332</v>
      </c>
      <c r="J85" s="167"/>
      <c r="K85" s="212">
        <f t="shared" si="6"/>
        <v>393332</v>
      </c>
      <c r="L85" s="78"/>
    </row>
    <row r="86" spans="1:12" ht="15" customHeight="1">
      <c r="A86" s="73"/>
      <c r="B86" s="73" t="s">
        <v>370</v>
      </c>
      <c r="C86" s="77"/>
      <c r="D86" s="77"/>
      <c r="E86" s="77"/>
      <c r="F86" s="113"/>
      <c r="G86" s="113">
        <v>554359</v>
      </c>
      <c r="H86" s="113"/>
      <c r="I86" s="77">
        <f t="shared" si="5"/>
        <v>554359</v>
      </c>
      <c r="J86" s="167"/>
      <c r="K86" s="212">
        <f t="shared" si="6"/>
        <v>554359</v>
      </c>
      <c r="L86" s="78"/>
    </row>
    <row r="87" spans="1:12" ht="30" customHeight="1">
      <c r="A87" s="73"/>
      <c r="B87" s="72" t="s">
        <v>371</v>
      </c>
      <c r="C87" s="77"/>
      <c r="D87" s="77"/>
      <c r="E87" s="77"/>
      <c r="F87" s="113"/>
      <c r="G87" s="113">
        <v>164282</v>
      </c>
      <c r="H87" s="113"/>
      <c r="I87" s="77">
        <f t="shared" si="5"/>
        <v>164282</v>
      </c>
      <c r="J87" s="167"/>
      <c r="K87" s="212">
        <f t="shared" si="6"/>
        <v>164282</v>
      </c>
      <c r="L87" s="78"/>
    </row>
    <row r="88" spans="1:12" ht="30" customHeight="1">
      <c r="A88" s="73" t="s">
        <v>764</v>
      </c>
      <c r="B88" s="83" t="s">
        <v>765</v>
      </c>
      <c r="C88" s="77"/>
      <c r="D88" s="77"/>
      <c r="E88" s="77"/>
      <c r="F88" s="113"/>
      <c r="G88" s="113"/>
      <c r="H88" s="220">
        <v>71752</v>
      </c>
      <c r="I88" s="77">
        <f t="shared" si="5"/>
        <v>0</v>
      </c>
      <c r="J88" s="195">
        <f>D88+F88+H88</f>
        <v>71752</v>
      </c>
      <c r="K88" s="212">
        <f t="shared" si="6"/>
        <v>71752</v>
      </c>
      <c r="L88" s="78"/>
    </row>
    <row r="89" spans="1:12" ht="45" customHeight="1">
      <c r="A89" s="73"/>
      <c r="B89" s="72" t="s">
        <v>372</v>
      </c>
      <c r="C89" s="77"/>
      <c r="D89" s="77"/>
      <c r="E89" s="77"/>
      <c r="F89" s="113"/>
      <c r="G89" s="113">
        <v>61200</v>
      </c>
      <c r="H89" s="113"/>
      <c r="I89" s="77">
        <f>G89</f>
        <v>61200</v>
      </c>
      <c r="J89" s="167"/>
      <c r="K89" s="212">
        <f t="shared" si="6"/>
        <v>61200</v>
      </c>
      <c r="L89" s="78"/>
    </row>
    <row r="90" spans="1:12" ht="30" customHeight="1">
      <c r="A90" s="73"/>
      <c r="B90" s="72" t="s">
        <v>375</v>
      </c>
      <c r="C90" s="77"/>
      <c r="D90" s="77"/>
      <c r="E90" s="77"/>
      <c r="F90" s="113"/>
      <c r="G90" s="113">
        <v>26000</v>
      </c>
      <c r="H90" s="113"/>
      <c r="I90" s="77">
        <f>G90</f>
        <v>26000</v>
      </c>
      <c r="J90" s="167"/>
      <c r="K90" s="212">
        <f t="shared" si="6"/>
        <v>26000</v>
      </c>
      <c r="L90" s="78"/>
    </row>
    <row r="91" spans="1:12" ht="30" customHeight="1">
      <c r="A91" s="73"/>
      <c r="B91" s="72" t="s">
        <v>721</v>
      </c>
      <c r="C91" s="77"/>
      <c r="D91" s="77"/>
      <c r="E91" s="77"/>
      <c r="F91" s="113"/>
      <c r="G91" s="113">
        <v>3749</v>
      </c>
      <c r="H91" s="113"/>
      <c r="I91" s="77">
        <f>G91</f>
        <v>3749</v>
      </c>
      <c r="J91" s="167"/>
      <c r="K91" s="212">
        <f>I91+J91</f>
        <v>3749</v>
      </c>
      <c r="L91" s="78"/>
    </row>
    <row r="92" spans="1:12" ht="15" customHeight="1">
      <c r="A92" s="73"/>
      <c r="B92" s="82" t="s">
        <v>376</v>
      </c>
      <c r="C92" s="77"/>
      <c r="D92" s="77"/>
      <c r="E92" s="77"/>
      <c r="F92" s="113"/>
      <c r="G92" s="113">
        <v>35560</v>
      </c>
      <c r="H92" s="113"/>
      <c r="I92" s="77">
        <f>G92</f>
        <v>35560</v>
      </c>
      <c r="J92" s="167"/>
      <c r="K92" s="212">
        <f t="shared" si="6"/>
        <v>35560</v>
      </c>
      <c r="L92" s="78"/>
    </row>
    <row r="93" spans="1:12" ht="15" customHeight="1">
      <c r="A93" s="73" t="s">
        <v>769</v>
      </c>
      <c r="B93" s="214" t="s">
        <v>768</v>
      </c>
      <c r="C93" s="77"/>
      <c r="D93" s="77"/>
      <c r="E93" s="77"/>
      <c r="F93" s="113"/>
      <c r="G93" s="113"/>
      <c r="H93" s="112">
        <f>SUM(H94:H102)</f>
        <v>29410</v>
      </c>
      <c r="I93" s="112">
        <f>SUM(I94:I102)</f>
        <v>0</v>
      </c>
      <c r="J93" s="112">
        <f>SUM(J94:J102)</f>
        <v>29410</v>
      </c>
      <c r="K93" s="76">
        <f>SUM(K94:K102)</f>
        <v>29410</v>
      </c>
      <c r="L93" s="78"/>
    </row>
    <row r="94" spans="1:12" ht="32.25" customHeight="1">
      <c r="A94" s="73"/>
      <c r="B94" s="82" t="s">
        <v>770</v>
      </c>
      <c r="C94" s="77"/>
      <c r="D94" s="77"/>
      <c r="E94" s="77"/>
      <c r="F94" s="113"/>
      <c r="G94" s="113"/>
      <c r="H94" s="213">
        <v>1860</v>
      </c>
      <c r="I94" s="77">
        <f>G94</f>
        <v>0</v>
      </c>
      <c r="J94" s="195">
        <f>H94</f>
        <v>1860</v>
      </c>
      <c r="K94" s="212">
        <f t="shared" si="6"/>
        <v>1860</v>
      </c>
      <c r="L94" s="78"/>
    </row>
    <row r="95" spans="1:12" ht="36" customHeight="1">
      <c r="A95" s="73"/>
      <c r="B95" s="82" t="s">
        <v>786</v>
      </c>
      <c r="C95" s="77"/>
      <c r="D95" s="77"/>
      <c r="E95" s="77"/>
      <c r="F95" s="113"/>
      <c r="G95" s="113"/>
      <c r="H95" s="213">
        <v>4500</v>
      </c>
      <c r="I95" s="77">
        <f t="shared" si="7" ref="I95:I102">G95</f>
        <v>0</v>
      </c>
      <c r="J95" s="195">
        <f t="shared" si="8" ref="J95:J105">H95</f>
        <v>4500</v>
      </c>
      <c r="K95" s="212">
        <f t="shared" si="6"/>
        <v>4500</v>
      </c>
      <c r="L95" s="78"/>
    </row>
    <row r="96" spans="1:12" ht="48" customHeight="1">
      <c r="A96" s="73"/>
      <c r="B96" s="82" t="s">
        <v>787</v>
      </c>
      <c r="C96" s="77"/>
      <c r="D96" s="77"/>
      <c r="E96" s="77"/>
      <c r="F96" s="113"/>
      <c r="G96" s="113"/>
      <c r="H96" s="213">
        <v>6050</v>
      </c>
      <c r="I96" s="77">
        <f t="shared" si="7"/>
        <v>0</v>
      </c>
      <c r="J96" s="195">
        <f t="shared" si="8"/>
        <v>6050</v>
      </c>
      <c r="K96" s="212">
        <f t="shared" si="6"/>
        <v>6050</v>
      </c>
      <c r="L96" s="78"/>
    </row>
    <row r="97" spans="1:12" ht="39.75" customHeight="1">
      <c r="A97" s="73"/>
      <c r="B97" s="82" t="s">
        <v>785</v>
      </c>
      <c r="C97" s="77"/>
      <c r="D97" s="77"/>
      <c r="E97" s="77"/>
      <c r="F97" s="113"/>
      <c r="G97" s="113"/>
      <c r="H97" s="213">
        <v>1000</v>
      </c>
      <c r="I97" s="77">
        <f t="shared" si="7"/>
        <v>0</v>
      </c>
      <c r="J97" s="195">
        <f t="shared" si="8"/>
        <v>1000</v>
      </c>
      <c r="K97" s="212">
        <f t="shared" si="6"/>
        <v>1000</v>
      </c>
      <c r="L97" s="78"/>
    </row>
    <row r="98" spans="1:12" ht="54" customHeight="1">
      <c r="A98" s="73"/>
      <c r="B98" s="82" t="s">
        <v>788</v>
      </c>
      <c r="C98" s="77"/>
      <c r="D98" s="77"/>
      <c r="E98" s="77"/>
      <c r="F98" s="113"/>
      <c r="G98" s="113"/>
      <c r="H98" s="213">
        <v>5000</v>
      </c>
      <c r="I98" s="77">
        <f t="shared" si="7"/>
        <v>0</v>
      </c>
      <c r="J98" s="195">
        <f t="shared" si="8"/>
        <v>5000</v>
      </c>
      <c r="K98" s="212">
        <f t="shared" si="6"/>
        <v>5000</v>
      </c>
      <c r="L98" s="78"/>
    </row>
    <row r="99" spans="1:12" ht="48.75" customHeight="1">
      <c r="A99" s="73"/>
      <c r="B99" s="82" t="s">
        <v>789</v>
      </c>
      <c r="C99" s="77"/>
      <c r="D99" s="77"/>
      <c r="E99" s="77"/>
      <c r="F99" s="113"/>
      <c r="G99" s="113"/>
      <c r="H99" s="213">
        <v>1000</v>
      </c>
      <c r="I99" s="77">
        <f t="shared" si="7"/>
        <v>0</v>
      </c>
      <c r="J99" s="195">
        <f t="shared" si="8"/>
        <v>1000</v>
      </c>
      <c r="K99" s="212">
        <f t="shared" si="6"/>
        <v>1000</v>
      </c>
      <c r="L99" s="78"/>
    </row>
    <row r="100" spans="1:12" ht="36" customHeight="1">
      <c r="A100" s="73"/>
      <c r="B100" s="82" t="s">
        <v>790</v>
      </c>
      <c r="C100" s="77"/>
      <c r="D100" s="77"/>
      <c r="E100" s="77"/>
      <c r="F100" s="113"/>
      <c r="G100" s="113"/>
      <c r="H100" s="213">
        <v>4000</v>
      </c>
      <c r="I100" s="77">
        <f t="shared" si="7"/>
        <v>0</v>
      </c>
      <c r="J100" s="195">
        <f t="shared" si="8"/>
        <v>4000</v>
      </c>
      <c r="K100" s="212">
        <f t="shared" si="6"/>
        <v>4000</v>
      </c>
      <c r="L100" s="78"/>
    </row>
    <row r="101" spans="1:12" ht="32.25" customHeight="1">
      <c r="A101" s="73"/>
      <c r="B101" s="82" t="s">
        <v>791</v>
      </c>
      <c r="C101" s="77"/>
      <c r="D101" s="77"/>
      <c r="E101" s="77"/>
      <c r="F101" s="113"/>
      <c r="G101" s="113"/>
      <c r="H101" s="213">
        <v>4000</v>
      </c>
      <c r="I101" s="77">
        <f t="shared" si="7"/>
        <v>0</v>
      </c>
      <c r="J101" s="195">
        <f t="shared" si="8"/>
        <v>4000</v>
      </c>
      <c r="K101" s="212">
        <f t="shared" si="6"/>
        <v>4000</v>
      </c>
      <c r="L101" s="78"/>
    </row>
    <row r="102" spans="1:12" ht="32.25" customHeight="1">
      <c r="A102" s="73"/>
      <c r="B102" s="216" t="s">
        <v>772</v>
      </c>
      <c r="C102" s="77"/>
      <c r="D102" s="77"/>
      <c r="E102" s="77"/>
      <c r="F102" s="113"/>
      <c r="G102" s="113"/>
      <c r="H102" s="213">
        <f>2000</f>
        <v>2000</v>
      </c>
      <c r="I102" s="77">
        <f t="shared" si="7"/>
        <v>0</v>
      </c>
      <c r="J102" s="195">
        <f t="shared" si="8"/>
        <v>2000</v>
      </c>
      <c r="K102" s="212">
        <f t="shared" si="6"/>
        <v>2000</v>
      </c>
      <c r="L102" s="78"/>
    </row>
    <row r="103" spans="1:12" ht="23.25" customHeight="1">
      <c r="A103" s="73"/>
      <c r="B103" s="72" t="s">
        <v>619</v>
      </c>
      <c r="C103" s="77"/>
      <c r="D103" s="77"/>
      <c r="E103" s="77"/>
      <c r="F103" s="113"/>
      <c r="G103" s="115">
        <v>121673</v>
      </c>
      <c r="H103" s="115"/>
      <c r="I103" s="77">
        <f t="shared" si="9" ref="I103:I118">G103</f>
        <v>121673</v>
      </c>
      <c r="J103" s="195">
        <f>H103</f>
        <v>0</v>
      </c>
      <c r="K103" s="212">
        <f t="shared" si="6"/>
        <v>121673</v>
      </c>
      <c r="L103" s="78"/>
    </row>
    <row r="104" spans="1:12" ht="15" customHeight="1">
      <c r="A104" s="73"/>
      <c r="B104" s="73" t="s">
        <v>756</v>
      </c>
      <c r="C104" s="77"/>
      <c r="D104" s="77"/>
      <c r="E104" s="77"/>
      <c r="F104" s="113"/>
      <c r="G104" s="113">
        <f>SUM(G105:G113)</f>
        <v>135837</v>
      </c>
      <c r="H104" s="113"/>
      <c r="I104" s="77">
        <f t="shared" si="9"/>
        <v>135837</v>
      </c>
      <c r="J104" s="195">
        <f t="shared" si="8"/>
        <v>0</v>
      </c>
      <c r="K104" s="212">
        <f t="shared" si="6"/>
        <v>135837</v>
      </c>
      <c r="L104" s="78"/>
    </row>
    <row r="105" spans="1:12" s="69" customFormat="1" ht="15" customHeight="1">
      <c r="A105" s="101"/>
      <c r="B105" s="148" t="s">
        <v>211</v>
      </c>
      <c r="C105" s="85"/>
      <c r="D105" s="85"/>
      <c r="E105" s="85"/>
      <c r="F105" s="114"/>
      <c r="G105" s="114">
        <v>15093</v>
      </c>
      <c r="H105" s="114"/>
      <c r="I105" s="85">
        <f t="shared" si="9"/>
        <v>15093</v>
      </c>
      <c r="J105" s="195">
        <f t="shared" si="8"/>
        <v>0</v>
      </c>
      <c r="K105" s="212">
        <f t="shared" si="6"/>
        <v>15093</v>
      </c>
      <c r="L105" s="78"/>
    </row>
    <row r="106" spans="1:12" s="69" customFormat="1" ht="15" customHeight="1">
      <c r="A106" s="101"/>
      <c r="B106" s="148" t="s">
        <v>212</v>
      </c>
      <c r="C106" s="85"/>
      <c r="D106" s="85"/>
      <c r="E106" s="85"/>
      <c r="F106" s="114"/>
      <c r="G106" s="114">
        <v>15093</v>
      </c>
      <c r="H106" s="114"/>
      <c r="I106" s="85">
        <f t="shared" si="9"/>
        <v>15093</v>
      </c>
      <c r="J106" s="197"/>
      <c r="K106" s="212">
        <f t="shared" si="6"/>
        <v>15093</v>
      </c>
      <c r="L106" s="78"/>
    </row>
    <row r="107" spans="1:12" s="69" customFormat="1" ht="15" customHeight="1">
      <c r="A107" s="101"/>
      <c r="B107" s="148" t="s">
        <v>214</v>
      </c>
      <c r="C107" s="85"/>
      <c r="D107" s="85"/>
      <c r="E107" s="85"/>
      <c r="F107" s="114"/>
      <c r="G107" s="114">
        <v>15093</v>
      </c>
      <c r="H107" s="114"/>
      <c r="I107" s="85">
        <f t="shared" si="9"/>
        <v>15093</v>
      </c>
      <c r="J107" s="197"/>
      <c r="K107" s="212">
        <f t="shared" si="6"/>
        <v>15093</v>
      </c>
      <c r="L107" s="78"/>
    </row>
    <row r="108" spans="1:12" s="69" customFormat="1" ht="15" customHeight="1">
      <c r="A108" s="101"/>
      <c r="B108" s="148" t="s">
        <v>216</v>
      </c>
      <c r="C108" s="85"/>
      <c r="D108" s="85"/>
      <c r="E108" s="85"/>
      <c r="F108" s="114"/>
      <c r="G108" s="114">
        <v>15093</v>
      </c>
      <c r="H108" s="114"/>
      <c r="I108" s="85">
        <f t="shared" si="9"/>
        <v>15093</v>
      </c>
      <c r="J108" s="197"/>
      <c r="K108" s="212">
        <f t="shared" si="6"/>
        <v>15093</v>
      </c>
      <c r="L108" s="78"/>
    </row>
    <row r="109" spans="1:12" s="69" customFormat="1" ht="15" customHeight="1">
      <c r="A109" s="101"/>
      <c r="B109" s="148" t="s">
        <v>217</v>
      </c>
      <c r="C109" s="85"/>
      <c r="D109" s="85"/>
      <c r="E109" s="85"/>
      <c r="F109" s="114"/>
      <c r="G109" s="114">
        <v>15093</v>
      </c>
      <c r="H109" s="114"/>
      <c r="I109" s="85">
        <f t="shared" si="9"/>
        <v>15093</v>
      </c>
      <c r="J109" s="197"/>
      <c r="K109" s="212">
        <f t="shared" si="6"/>
        <v>15093</v>
      </c>
      <c r="L109" s="78"/>
    </row>
    <row r="110" spans="1:12" s="69" customFormat="1" ht="15" customHeight="1">
      <c r="A110" s="101"/>
      <c r="B110" s="148" t="s">
        <v>213</v>
      </c>
      <c r="C110" s="85"/>
      <c r="D110" s="85"/>
      <c r="E110" s="85"/>
      <c r="F110" s="114"/>
      <c r="G110" s="114">
        <v>15093</v>
      </c>
      <c r="H110" s="114"/>
      <c r="I110" s="85">
        <f t="shared" si="9"/>
        <v>15093</v>
      </c>
      <c r="J110" s="197"/>
      <c r="K110" s="212">
        <f t="shared" si="6"/>
        <v>15093</v>
      </c>
      <c r="L110" s="78"/>
    </row>
    <row r="111" spans="1:12" s="69" customFormat="1" ht="15" customHeight="1">
      <c r="A111" s="101"/>
      <c r="B111" s="148" t="s">
        <v>744</v>
      </c>
      <c r="C111" s="85"/>
      <c r="D111" s="85"/>
      <c r="E111" s="85"/>
      <c r="F111" s="114"/>
      <c r="G111" s="114">
        <v>15093</v>
      </c>
      <c r="H111" s="114"/>
      <c r="I111" s="85">
        <f t="shared" si="9"/>
        <v>15093</v>
      </c>
      <c r="J111" s="197"/>
      <c r="K111" s="212">
        <f t="shared" si="6"/>
        <v>15093</v>
      </c>
      <c r="L111" s="78"/>
    </row>
    <row r="112" spans="1:12" s="69" customFormat="1" ht="15" customHeight="1">
      <c r="A112" s="101"/>
      <c r="B112" s="148" t="s">
        <v>215</v>
      </c>
      <c r="C112" s="85"/>
      <c r="D112" s="85"/>
      <c r="E112" s="85"/>
      <c r="F112" s="114"/>
      <c r="G112" s="114">
        <v>15093</v>
      </c>
      <c r="H112" s="114"/>
      <c r="I112" s="85">
        <f t="shared" si="9"/>
        <v>15093</v>
      </c>
      <c r="J112" s="197"/>
      <c r="K112" s="212">
        <f t="shared" si="6"/>
        <v>15093</v>
      </c>
      <c r="L112" s="78"/>
    </row>
    <row r="113" spans="1:12" s="69" customFormat="1" ht="15" customHeight="1">
      <c r="A113" s="101"/>
      <c r="B113" s="148" t="s">
        <v>743</v>
      </c>
      <c r="C113" s="85"/>
      <c r="D113" s="85"/>
      <c r="E113" s="85"/>
      <c r="F113" s="114"/>
      <c r="G113" s="114">
        <v>15093</v>
      </c>
      <c r="H113" s="114"/>
      <c r="I113" s="85">
        <f t="shared" si="9"/>
        <v>15093</v>
      </c>
      <c r="J113" s="197"/>
      <c r="K113" s="212">
        <f t="shared" si="6"/>
        <v>15093</v>
      </c>
      <c r="L113" s="78"/>
    </row>
    <row r="114" spans="1:12" ht="15" customHeight="1">
      <c r="A114" s="73"/>
      <c r="B114" s="148" t="s">
        <v>126</v>
      </c>
      <c r="C114" s="77"/>
      <c r="D114" s="77"/>
      <c r="E114" s="77"/>
      <c r="F114" s="113"/>
      <c r="G114" s="114">
        <v>21967</v>
      </c>
      <c r="H114" s="114"/>
      <c r="I114" s="85">
        <f t="shared" si="9"/>
        <v>21967</v>
      </c>
      <c r="J114" s="167"/>
      <c r="K114" s="212">
        <f t="shared" si="6"/>
        <v>21967</v>
      </c>
      <c r="L114" s="78"/>
    </row>
    <row r="115" spans="1:12" ht="30" customHeight="1">
      <c r="A115" s="73"/>
      <c r="B115" s="72" t="s">
        <v>378</v>
      </c>
      <c r="C115" s="77"/>
      <c r="D115" s="77"/>
      <c r="E115" s="77"/>
      <c r="F115" s="113"/>
      <c r="G115" s="113">
        <v>685761</v>
      </c>
      <c r="H115" s="113"/>
      <c r="I115" s="77">
        <f t="shared" si="9"/>
        <v>685761</v>
      </c>
      <c r="J115" s="167"/>
      <c r="K115" s="212">
        <f t="shared" si="6"/>
        <v>685761</v>
      </c>
      <c r="L115" s="78"/>
    </row>
    <row r="116" spans="1:12" ht="48.75" customHeight="1">
      <c r="A116" s="73"/>
      <c r="B116" s="72" t="s">
        <v>728</v>
      </c>
      <c r="C116" s="77"/>
      <c r="D116" s="77"/>
      <c r="E116" s="77"/>
      <c r="F116" s="113"/>
      <c r="G116" s="113">
        <v>13752</v>
      </c>
      <c r="H116" s="113"/>
      <c r="I116" s="77">
        <f t="shared" si="9"/>
        <v>13752</v>
      </c>
      <c r="J116" s="167"/>
      <c r="K116" s="212">
        <f t="shared" si="6"/>
        <v>13752</v>
      </c>
      <c r="L116" s="78"/>
    </row>
    <row r="117" spans="1:12" ht="22.5" customHeight="1">
      <c r="A117" s="73"/>
      <c r="B117" s="109" t="s">
        <v>534</v>
      </c>
      <c r="C117" s="77"/>
      <c r="D117" s="77"/>
      <c r="E117" s="77"/>
      <c r="F117" s="113"/>
      <c r="G117" s="115">
        <v>38304</v>
      </c>
      <c r="H117" s="115"/>
      <c r="I117" s="77">
        <f t="shared" si="9"/>
        <v>38304</v>
      </c>
      <c r="J117" s="167"/>
      <c r="K117" s="212">
        <f t="shared" si="6"/>
        <v>38304</v>
      </c>
      <c r="L117" s="78"/>
    </row>
    <row r="118" spans="1:12" ht="30" customHeight="1">
      <c r="A118" s="73"/>
      <c r="B118" s="109" t="s">
        <v>538</v>
      </c>
      <c r="C118" s="77"/>
      <c r="D118" s="77"/>
      <c r="E118" s="77"/>
      <c r="F118" s="113"/>
      <c r="G118" s="113">
        <v>9700</v>
      </c>
      <c r="H118" s="113"/>
      <c r="I118" s="77">
        <f t="shared" si="9"/>
        <v>9700</v>
      </c>
      <c r="J118" s="167"/>
      <c r="K118" s="212">
        <f t="shared" si="6"/>
        <v>9700</v>
      </c>
      <c r="L118" s="78"/>
    </row>
    <row r="119" spans="1:12" ht="48" customHeight="1">
      <c r="A119" s="73"/>
      <c r="B119" s="109" t="s">
        <v>727</v>
      </c>
      <c r="C119" s="77"/>
      <c r="D119" s="77"/>
      <c r="E119" s="77"/>
      <c r="F119" s="113"/>
      <c r="G119" s="113">
        <v>71623</v>
      </c>
      <c r="H119" s="113"/>
      <c r="I119" s="77">
        <f>G119</f>
        <v>71623</v>
      </c>
      <c r="J119" s="167"/>
      <c r="K119" s="212">
        <f t="shared" si="6"/>
        <v>71623</v>
      </c>
      <c r="L119" s="78"/>
    </row>
    <row r="120" spans="1:12" ht="31.5" customHeight="1">
      <c r="A120" s="73" t="s">
        <v>766</v>
      </c>
      <c r="B120" s="109" t="s">
        <v>767</v>
      </c>
      <c r="C120" s="77"/>
      <c r="D120" s="77"/>
      <c r="E120" s="77"/>
      <c r="F120" s="113"/>
      <c r="G120" s="113"/>
      <c r="H120" s="213">
        <v>9750</v>
      </c>
      <c r="I120" s="77">
        <f>G120</f>
        <v>0</v>
      </c>
      <c r="J120" s="195">
        <f>H120</f>
        <v>9750</v>
      </c>
      <c r="K120" s="212">
        <f>I120+J120</f>
        <v>9750</v>
      </c>
      <c r="L120" s="78"/>
    </row>
    <row r="121" spans="1:12" ht="51" customHeight="1">
      <c r="A121" s="73"/>
      <c r="B121" s="79" t="s">
        <v>809</v>
      </c>
      <c r="C121" s="77"/>
      <c r="D121" s="77"/>
      <c r="E121" s="77"/>
      <c r="F121" s="113"/>
      <c r="G121" s="115">
        <v>18531</v>
      </c>
      <c r="H121" s="115"/>
      <c r="I121" s="77">
        <f t="shared" si="10" ref="I121:I125">G121</f>
        <v>18531</v>
      </c>
      <c r="J121" s="195"/>
      <c r="K121" s="212">
        <f t="shared" si="6"/>
        <v>18531</v>
      </c>
      <c r="L121" s="78"/>
    </row>
    <row r="122" spans="1:12" s="67" customFormat="1" ht="21.75" customHeight="1">
      <c r="A122" s="73"/>
      <c r="B122" s="105" t="s">
        <v>379</v>
      </c>
      <c r="C122" s="77"/>
      <c r="D122" s="77"/>
      <c r="E122" s="77"/>
      <c r="F122" s="113"/>
      <c r="G122" s="113">
        <v>256079</v>
      </c>
      <c r="H122" s="113"/>
      <c r="I122" s="77">
        <f t="shared" si="10"/>
        <v>256079</v>
      </c>
      <c r="J122" s="195"/>
      <c r="K122" s="212">
        <f t="shared" si="6"/>
        <v>256079</v>
      </c>
      <c r="L122" s="78"/>
    </row>
    <row r="123" spans="1:12" s="67" customFormat="1" ht="45.75" customHeight="1">
      <c r="A123" s="73"/>
      <c r="B123" s="105" t="s">
        <v>725</v>
      </c>
      <c r="C123" s="77"/>
      <c r="D123" s="77"/>
      <c r="E123" s="77"/>
      <c r="F123" s="113"/>
      <c r="G123" s="113">
        <v>282372</v>
      </c>
      <c r="H123" s="113"/>
      <c r="I123" s="77">
        <f t="shared" si="10"/>
        <v>282372</v>
      </c>
      <c r="J123" s="195"/>
      <c r="K123" s="212">
        <f t="shared" si="6"/>
        <v>282372</v>
      </c>
      <c r="L123" s="78"/>
    </row>
    <row r="124" spans="1:12" ht="69.75" customHeight="1">
      <c r="A124" s="74" t="s">
        <v>380</v>
      </c>
      <c r="B124" s="75" t="s">
        <v>381</v>
      </c>
      <c r="C124" s="76"/>
      <c r="D124" s="76"/>
      <c r="E124" s="76">
        <f>SUM(E125:E135)</f>
        <v>0</v>
      </c>
      <c r="F124" s="112"/>
      <c r="G124" s="112">
        <f>SUM(G125:G135)</f>
        <v>2484781</v>
      </c>
      <c r="H124" s="220">
        <f>SUM(H125:H136)</f>
        <v>24100</v>
      </c>
      <c r="I124" s="76">
        <f t="shared" si="10"/>
        <v>2484781</v>
      </c>
      <c r="J124" s="195">
        <f t="shared" si="11" ref="J124">H124</f>
        <v>24100</v>
      </c>
      <c r="K124" s="212">
        <f>I124+J124</f>
        <v>2508881</v>
      </c>
      <c r="L124" s="78"/>
    </row>
    <row r="125" spans="1:12" ht="18" customHeight="1">
      <c r="A125" s="73"/>
      <c r="B125" s="82" t="s">
        <v>45</v>
      </c>
      <c r="C125" s="76"/>
      <c r="D125" s="76"/>
      <c r="E125" s="77"/>
      <c r="F125" s="113"/>
      <c r="G125" s="113">
        <v>10634</v>
      </c>
      <c r="H125" s="113"/>
      <c r="I125" s="77">
        <f t="shared" si="10"/>
        <v>10634</v>
      </c>
      <c r="J125" s="195"/>
      <c r="K125" s="212">
        <f t="shared" si="6"/>
        <v>10634</v>
      </c>
      <c r="L125" s="78"/>
    </row>
    <row r="126" spans="1:12" ht="51" customHeight="1">
      <c r="A126" s="73"/>
      <c r="B126" s="72" t="s">
        <v>707</v>
      </c>
      <c r="C126" s="76"/>
      <c r="D126" s="76"/>
      <c r="E126" s="77"/>
      <c r="F126" s="113"/>
      <c r="G126" s="113">
        <v>22142</v>
      </c>
      <c r="H126" s="113"/>
      <c r="I126" s="77">
        <f t="shared" si="12" ref="I126:I137">G126</f>
        <v>22142</v>
      </c>
      <c r="J126" s="167"/>
      <c r="K126" s="212">
        <f t="shared" si="6"/>
        <v>22142</v>
      </c>
      <c r="L126" s="78"/>
    </row>
    <row r="127" spans="1:12" ht="39" customHeight="1">
      <c r="A127" s="73"/>
      <c r="B127" s="72" t="s">
        <v>709</v>
      </c>
      <c r="C127" s="76"/>
      <c r="D127" s="76"/>
      <c r="E127" s="77"/>
      <c r="F127" s="113"/>
      <c r="G127" s="113">
        <v>200813</v>
      </c>
      <c r="H127" s="113"/>
      <c r="I127" s="77">
        <f t="shared" si="12"/>
        <v>200813</v>
      </c>
      <c r="J127" s="167"/>
      <c r="K127" s="212">
        <f t="shared" si="6"/>
        <v>200813</v>
      </c>
      <c r="L127" s="78"/>
    </row>
    <row r="128" spans="1:12" ht="38.25" customHeight="1">
      <c r="A128" s="73"/>
      <c r="B128" s="72" t="s">
        <v>804</v>
      </c>
      <c r="C128" s="76"/>
      <c r="D128" s="76"/>
      <c r="E128" s="77"/>
      <c r="F128" s="113"/>
      <c r="G128" s="113">
        <v>376000</v>
      </c>
      <c r="H128" s="113"/>
      <c r="I128" s="77">
        <f t="shared" si="12"/>
        <v>376000</v>
      </c>
      <c r="J128" s="167"/>
      <c r="K128" s="212">
        <f t="shared" si="6"/>
        <v>376000</v>
      </c>
      <c r="L128" s="78"/>
    </row>
    <row r="129" spans="1:12" ht="32.25" customHeight="1">
      <c r="A129" s="73"/>
      <c r="B129" s="72" t="s">
        <v>805</v>
      </c>
      <c r="C129" s="76"/>
      <c r="D129" s="76"/>
      <c r="E129" s="77"/>
      <c r="F129" s="113"/>
      <c r="G129" s="113">
        <v>260434</v>
      </c>
      <c r="H129" s="113"/>
      <c r="I129" s="77">
        <f t="shared" si="12"/>
        <v>260434</v>
      </c>
      <c r="J129" s="167"/>
      <c r="K129" s="212">
        <f t="shared" si="6"/>
        <v>260434</v>
      </c>
      <c r="L129" s="78"/>
    </row>
    <row r="130" spans="1:12" ht="39.75" customHeight="1">
      <c r="A130" s="73"/>
      <c r="B130" s="72" t="s">
        <v>806</v>
      </c>
      <c r="C130" s="76"/>
      <c r="D130" s="76"/>
      <c r="E130" s="77"/>
      <c r="F130" s="113"/>
      <c r="G130" s="113">
        <v>227396</v>
      </c>
      <c r="H130" s="113"/>
      <c r="I130" s="77">
        <f t="shared" si="12"/>
        <v>227396</v>
      </c>
      <c r="J130" s="167"/>
      <c r="K130" s="212">
        <f t="shared" si="6"/>
        <v>227396</v>
      </c>
      <c r="L130" s="78"/>
    </row>
    <row r="131" spans="1:12" ht="32.25" customHeight="1">
      <c r="A131" s="73"/>
      <c r="B131" s="72" t="s">
        <v>807</v>
      </c>
      <c r="C131" s="76"/>
      <c r="D131" s="76"/>
      <c r="E131" s="77"/>
      <c r="F131" s="113"/>
      <c r="G131" s="113">
        <v>1243211</v>
      </c>
      <c r="H131" s="113"/>
      <c r="I131" s="77">
        <f>G131</f>
        <v>1243211</v>
      </c>
      <c r="J131" s="167"/>
      <c r="K131" s="212">
        <f t="shared" si="6"/>
        <v>1243211</v>
      </c>
      <c r="L131" s="78"/>
    </row>
    <row r="132" spans="1:12" ht="32.25" customHeight="1">
      <c r="A132" s="73"/>
      <c r="B132" s="238" t="s">
        <v>803</v>
      </c>
      <c r="C132" s="76"/>
      <c r="D132" s="76"/>
      <c r="E132" s="77"/>
      <c r="F132" s="113"/>
      <c r="G132" s="113"/>
      <c r="H132" s="113">
        <v>1600</v>
      </c>
      <c r="I132" s="77"/>
      <c r="J132" s="195">
        <f>H132</f>
        <v>1600</v>
      </c>
      <c r="K132" s="212">
        <f t="shared" si="6"/>
        <v>1600</v>
      </c>
      <c r="L132" s="78"/>
    </row>
    <row r="133" spans="1:12" ht="21.75" customHeight="1">
      <c r="A133" s="73"/>
      <c r="B133" s="72" t="s">
        <v>717</v>
      </c>
      <c r="C133" s="76"/>
      <c r="D133" s="76"/>
      <c r="E133" s="77"/>
      <c r="F133" s="113"/>
      <c r="G133" s="113">
        <v>60000</v>
      </c>
      <c r="H133" s="113"/>
      <c r="I133" s="77">
        <f t="shared" si="12"/>
        <v>60000</v>
      </c>
      <c r="J133" s="167"/>
      <c r="K133" s="212">
        <f t="shared" si="6"/>
        <v>60000</v>
      </c>
      <c r="L133" s="78"/>
    </row>
    <row r="134" spans="1:12" ht="21.75" customHeight="1">
      <c r="A134" s="73"/>
      <c r="B134" s="72" t="s">
        <v>84</v>
      </c>
      <c r="C134" s="76"/>
      <c r="D134" s="76"/>
      <c r="E134" s="77"/>
      <c r="F134" s="113"/>
      <c r="G134" s="113">
        <v>66300</v>
      </c>
      <c r="H134" s="113"/>
      <c r="I134" s="77">
        <f t="shared" si="12"/>
        <v>66300</v>
      </c>
      <c r="J134" s="167"/>
      <c r="K134" s="212">
        <f t="shared" si="6"/>
        <v>66300</v>
      </c>
      <c r="L134" s="78"/>
    </row>
    <row r="135" spans="1:12" ht="32.25" customHeight="1">
      <c r="A135" s="73"/>
      <c r="B135" s="72" t="s">
        <v>808</v>
      </c>
      <c r="C135" s="76"/>
      <c r="D135" s="76"/>
      <c r="E135" s="77"/>
      <c r="F135" s="113"/>
      <c r="G135" s="113">
        <v>17851</v>
      </c>
      <c r="H135" s="113"/>
      <c r="I135" s="77">
        <f t="shared" si="12"/>
        <v>17851</v>
      </c>
      <c r="J135" s="167"/>
      <c r="K135" s="212">
        <f>I135+J135</f>
        <v>17851</v>
      </c>
      <c r="L135" s="78"/>
    </row>
    <row r="136" spans="1:12" ht="32.25" customHeight="1">
      <c r="A136" s="73"/>
      <c r="B136" s="226" t="s">
        <v>778</v>
      </c>
      <c r="C136" s="76"/>
      <c r="D136" s="76"/>
      <c r="E136" s="77"/>
      <c r="F136" s="113"/>
      <c r="G136" s="113"/>
      <c r="H136" s="113">
        <v>22500</v>
      </c>
      <c r="I136" s="77"/>
      <c r="J136" s="195">
        <f>H136</f>
        <v>22500</v>
      </c>
      <c r="K136" s="212">
        <f>I136+J136</f>
        <v>22500</v>
      </c>
      <c r="L136" s="78"/>
    </row>
    <row r="137" spans="1:12" s="67" customFormat="1" ht="33.75" customHeight="1">
      <c r="A137" s="74" t="s">
        <v>382</v>
      </c>
      <c r="B137" s="75" t="s">
        <v>383</v>
      </c>
      <c r="C137" s="76"/>
      <c r="D137" s="76"/>
      <c r="E137" s="76"/>
      <c r="F137" s="76"/>
      <c r="G137" s="76">
        <v>7088511</v>
      </c>
      <c r="H137" s="76"/>
      <c r="I137" s="76">
        <f t="shared" si="12"/>
        <v>7088511</v>
      </c>
      <c r="J137" s="182"/>
      <c r="K137" s="212">
        <f t="shared" si="6"/>
        <v>7088511</v>
      </c>
      <c r="L137" s="78"/>
    </row>
    <row r="138" spans="1:12" ht="30.75" customHeight="1">
      <c r="A138" s="74" t="s">
        <v>544</v>
      </c>
      <c r="B138" s="75" t="s">
        <v>543</v>
      </c>
      <c r="C138" s="76"/>
      <c r="D138" s="76"/>
      <c r="E138" s="76">
        <f>E139</f>
        <v>150000</v>
      </c>
      <c r="F138" s="112">
        <f>F140</f>
        <v>39701</v>
      </c>
      <c r="G138" s="112"/>
      <c r="H138" s="112"/>
      <c r="I138" s="76">
        <f>C138+E138+G138</f>
        <v>150000</v>
      </c>
      <c r="J138" s="76">
        <f>D138+F138+H138</f>
        <v>39701</v>
      </c>
      <c r="K138" s="212">
        <f>I138+J138</f>
        <v>189701</v>
      </c>
      <c r="L138" s="78"/>
    </row>
    <row r="139" spans="1:12" ht="15" customHeight="1">
      <c r="A139" s="73" t="s">
        <v>545</v>
      </c>
      <c r="B139" s="72" t="s">
        <v>546</v>
      </c>
      <c r="C139" s="77"/>
      <c r="D139" s="77"/>
      <c r="E139" s="77">
        <v>150000</v>
      </c>
      <c r="F139" s="113"/>
      <c r="G139" s="113"/>
      <c r="H139" s="113"/>
      <c r="I139" s="77">
        <f>C139+E139+G139</f>
        <v>150000</v>
      </c>
      <c r="J139" s="167"/>
      <c r="K139" s="212">
        <f t="shared" si="6"/>
        <v>150000</v>
      </c>
      <c r="L139" s="78"/>
    </row>
    <row r="140" spans="1:12" ht="23.25" customHeight="1">
      <c r="A140" s="73"/>
      <c r="B140" s="226" t="s">
        <v>802</v>
      </c>
      <c r="C140" s="77"/>
      <c r="D140" s="77"/>
      <c r="E140" s="77"/>
      <c r="F140" s="113">
        <v>39701</v>
      </c>
      <c r="G140" s="113"/>
      <c r="H140" s="113"/>
      <c r="I140" s="77"/>
      <c r="J140" s="195">
        <v>39701</v>
      </c>
      <c r="K140" s="212">
        <f t="shared" si="6"/>
        <v>39701</v>
      </c>
      <c r="L140" s="78"/>
    </row>
    <row r="141" spans="1:12" ht="30.75" customHeight="1">
      <c r="A141" s="102" t="s">
        <v>610</v>
      </c>
      <c r="B141" s="74" t="s">
        <v>385</v>
      </c>
      <c r="C141" s="76"/>
      <c r="D141" s="76"/>
      <c r="E141" s="76">
        <f>E142+E413</f>
        <v>5629988</v>
      </c>
      <c r="F141" s="76">
        <f>F142+F413</f>
        <v>0</v>
      </c>
      <c r="G141" s="112">
        <f>G142+G413</f>
        <v>0</v>
      </c>
      <c r="H141" s="112">
        <f>H142+H413</f>
        <v>23084</v>
      </c>
      <c r="I141" s="76">
        <f>E141</f>
        <v>5629988</v>
      </c>
      <c r="J141" s="196">
        <f>F141+H141</f>
        <v>23084</v>
      </c>
      <c r="K141" s="212">
        <f t="shared" si="6"/>
        <v>5653072</v>
      </c>
      <c r="L141" s="78"/>
    </row>
    <row r="142" spans="1:12" s="67" customFormat="1" ht="31.5" customHeight="1">
      <c r="A142" s="74" t="s">
        <v>386</v>
      </c>
      <c r="B142" s="75" t="s">
        <v>387</v>
      </c>
      <c r="C142" s="76"/>
      <c r="D142" s="76"/>
      <c r="E142" s="76">
        <f>E143+E160+E163+E233</f>
        <v>5624988</v>
      </c>
      <c r="F142" s="76">
        <f>F143+F160+F163+F233</f>
        <v>0</v>
      </c>
      <c r="G142" s="113"/>
      <c r="H142" s="113"/>
      <c r="I142" s="76">
        <f t="shared" si="13" ref="I142:I203">E142</f>
        <v>5624988</v>
      </c>
      <c r="J142" s="196">
        <f>F142</f>
        <v>0</v>
      </c>
      <c r="K142" s="212">
        <f t="shared" si="6"/>
        <v>5624988</v>
      </c>
      <c r="L142" s="78"/>
    </row>
    <row r="143" spans="1:12" s="67" customFormat="1" ht="15" customHeight="1">
      <c r="A143" s="74" t="s">
        <v>388</v>
      </c>
      <c r="B143" s="74" t="s">
        <v>389</v>
      </c>
      <c r="C143" s="76"/>
      <c r="D143" s="76"/>
      <c r="E143" s="76">
        <f>E144+E147</f>
        <v>139443</v>
      </c>
      <c r="F143" s="76">
        <v>0</v>
      </c>
      <c r="G143" s="112"/>
      <c r="H143" s="112"/>
      <c r="I143" s="76">
        <f t="shared" si="13"/>
        <v>139443</v>
      </c>
      <c r="J143" s="182"/>
      <c r="K143" s="212">
        <f t="shared" si="6"/>
        <v>139443</v>
      </c>
      <c r="L143" s="78"/>
    </row>
    <row r="144" spans="1:12" ht="15" customHeight="1">
      <c r="A144" s="74" t="s">
        <v>390</v>
      </c>
      <c r="B144" s="74" t="s">
        <v>391</v>
      </c>
      <c r="C144" s="76"/>
      <c r="D144" s="76"/>
      <c r="E144" s="76">
        <f>SUM(E145:E146)</f>
        <v>30132</v>
      </c>
      <c r="F144" s="112"/>
      <c r="G144" s="112"/>
      <c r="H144" s="112"/>
      <c r="I144" s="76">
        <f t="shared" si="13"/>
        <v>30132</v>
      </c>
      <c r="J144" s="167"/>
      <c r="K144" s="212">
        <f t="shared" si="6"/>
        <v>30132</v>
      </c>
      <c r="L144" s="78"/>
    </row>
    <row r="145" spans="1:12" ht="15" customHeight="1">
      <c r="A145" s="73"/>
      <c r="B145" s="83" t="s">
        <v>392</v>
      </c>
      <c r="C145" s="77"/>
      <c r="D145" s="77"/>
      <c r="E145" s="77">
        <v>17496</v>
      </c>
      <c r="F145" s="113"/>
      <c r="G145" s="113"/>
      <c r="H145" s="113"/>
      <c r="I145" s="77">
        <f t="shared" si="13"/>
        <v>17496</v>
      </c>
      <c r="J145" s="167"/>
      <c r="K145" s="212">
        <f t="shared" si="6"/>
        <v>17496</v>
      </c>
      <c r="L145" s="78"/>
    </row>
    <row r="146" spans="1:12" ht="15" customHeight="1">
      <c r="A146" s="73"/>
      <c r="B146" s="83" t="s">
        <v>393</v>
      </c>
      <c r="C146" s="77"/>
      <c r="D146" s="77"/>
      <c r="E146" s="77">
        <v>12636</v>
      </c>
      <c r="F146" s="113"/>
      <c r="G146" s="113"/>
      <c r="H146" s="113"/>
      <c r="I146" s="77">
        <f t="shared" si="13"/>
        <v>12636</v>
      </c>
      <c r="J146" s="167"/>
      <c r="K146" s="212">
        <f t="shared" si="6"/>
        <v>12636</v>
      </c>
      <c r="L146" s="78"/>
    </row>
    <row r="147" spans="1:12" ht="15" customHeight="1">
      <c r="A147" s="74" t="s">
        <v>394</v>
      </c>
      <c r="B147" s="74" t="s">
        <v>395</v>
      </c>
      <c r="C147" s="76"/>
      <c r="D147" s="76"/>
      <c r="E147" s="76">
        <f>SUM(E148:E159)</f>
        <v>109311</v>
      </c>
      <c r="F147" s="76"/>
      <c r="G147" s="76"/>
      <c r="H147" s="76"/>
      <c r="I147" s="76">
        <f t="shared" si="13"/>
        <v>109311</v>
      </c>
      <c r="J147" s="76"/>
      <c r="K147" s="212">
        <f t="shared" si="6"/>
        <v>109311</v>
      </c>
      <c r="L147" s="78"/>
    </row>
    <row r="148" spans="1:12" ht="15" customHeight="1">
      <c r="A148" s="73"/>
      <c r="B148" s="83" t="s">
        <v>28</v>
      </c>
      <c r="C148" s="77"/>
      <c r="D148" s="77"/>
      <c r="E148" s="77">
        <v>39000</v>
      </c>
      <c r="F148" s="113"/>
      <c r="G148" s="113"/>
      <c r="H148" s="113"/>
      <c r="I148" s="77">
        <f t="shared" si="13"/>
        <v>39000</v>
      </c>
      <c r="J148" s="167"/>
      <c r="K148" s="212">
        <f t="shared" si="6"/>
        <v>39000</v>
      </c>
      <c r="L148" s="78"/>
    </row>
    <row r="149" spans="1:12" ht="15" customHeight="1">
      <c r="A149" s="73"/>
      <c r="B149" s="83" t="s">
        <v>29</v>
      </c>
      <c r="C149" s="77"/>
      <c r="D149" s="77"/>
      <c r="E149" s="77">
        <v>22000</v>
      </c>
      <c r="F149" s="113"/>
      <c r="G149" s="113"/>
      <c r="H149" s="113"/>
      <c r="I149" s="77">
        <f t="shared" si="13"/>
        <v>22000</v>
      </c>
      <c r="J149" s="167"/>
      <c r="K149" s="212">
        <f t="shared" si="6"/>
        <v>22000</v>
      </c>
      <c r="L149" s="78"/>
    </row>
    <row r="150" spans="1:12" ht="15" customHeight="1">
      <c r="A150" s="73"/>
      <c r="B150" s="83" t="s">
        <v>540</v>
      </c>
      <c r="C150" s="77"/>
      <c r="D150" s="77"/>
      <c r="E150" s="77">
        <v>12551</v>
      </c>
      <c r="F150" s="113"/>
      <c r="G150" s="113"/>
      <c r="H150" s="113"/>
      <c r="I150" s="77">
        <f t="shared" si="13"/>
        <v>12551</v>
      </c>
      <c r="J150" s="167"/>
      <c r="K150" s="212">
        <f t="shared" si="6"/>
        <v>12551</v>
      </c>
      <c r="L150" s="78"/>
    </row>
    <row r="151" spans="1:12" ht="15" customHeight="1">
      <c r="A151" s="73"/>
      <c r="B151" s="83" t="s">
        <v>30</v>
      </c>
      <c r="C151" s="77"/>
      <c r="D151" s="77"/>
      <c r="E151" s="77">
        <v>3000</v>
      </c>
      <c r="F151" s="113"/>
      <c r="G151" s="113"/>
      <c r="H151" s="113"/>
      <c r="I151" s="77">
        <f t="shared" si="13"/>
        <v>3000</v>
      </c>
      <c r="J151" s="167"/>
      <c r="K151" s="212">
        <f t="shared" si="6"/>
        <v>3000</v>
      </c>
      <c r="L151" s="78"/>
    </row>
    <row r="152" spans="1:12" ht="15" customHeight="1">
      <c r="A152" s="73"/>
      <c r="B152" s="83" t="s">
        <v>397</v>
      </c>
      <c r="C152" s="77"/>
      <c r="D152" s="77"/>
      <c r="E152" s="77">
        <v>3400</v>
      </c>
      <c r="F152" s="113"/>
      <c r="G152" s="113"/>
      <c r="H152" s="113"/>
      <c r="I152" s="77">
        <f t="shared" si="13"/>
        <v>3400</v>
      </c>
      <c r="J152" s="167"/>
      <c r="K152" s="212">
        <f t="shared" si="6"/>
        <v>3400</v>
      </c>
      <c r="L152" s="78"/>
    </row>
    <row r="153" spans="1:12" ht="15" customHeight="1">
      <c r="A153" s="73"/>
      <c r="B153" s="83" t="s">
        <v>562</v>
      </c>
      <c r="C153" s="77"/>
      <c r="D153" s="77"/>
      <c r="E153" s="77">
        <v>9950</v>
      </c>
      <c r="F153" s="113"/>
      <c r="G153" s="113"/>
      <c r="H153" s="113"/>
      <c r="I153" s="77">
        <f t="shared" si="13"/>
        <v>9950</v>
      </c>
      <c r="J153" s="167"/>
      <c r="K153" s="212">
        <f t="shared" si="6"/>
        <v>9950</v>
      </c>
      <c r="L153" s="78"/>
    </row>
    <row r="154" spans="1:12" ht="15" customHeight="1">
      <c r="A154" s="73"/>
      <c r="B154" s="83" t="s">
        <v>396</v>
      </c>
      <c r="C154" s="77"/>
      <c r="D154" s="77"/>
      <c r="E154" s="77">
        <v>7000</v>
      </c>
      <c r="F154" s="113"/>
      <c r="G154" s="113"/>
      <c r="H154" s="113"/>
      <c r="I154" s="77">
        <f t="shared" si="13"/>
        <v>7000</v>
      </c>
      <c r="J154" s="167"/>
      <c r="K154" s="212">
        <f t="shared" si="6"/>
        <v>7000</v>
      </c>
      <c r="L154" s="78"/>
    </row>
    <row r="155" spans="1:12" ht="15" customHeight="1">
      <c r="A155" s="73"/>
      <c r="B155" s="83" t="s">
        <v>631</v>
      </c>
      <c r="C155" s="77"/>
      <c r="D155" s="77"/>
      <c r="E155" s="77">
        <v>1150</v>
      </c>
      <c r="F155" s="113"/>
      <c r="G155" s="113"/>
      <c r="H155" s="113"/>
      <c r="I155" s="77">
        <f t="shared" si="13"/>
        <v>1150</v>
      </c>
      <c r="J155" s="167"/>
      <c r="K155" s="212">
        <f t="shared" si="6"/>
        <v>1150</v>
      </c>
      <c r="L155" s="78"/>
    </row>
    <row r="156" spans="1:12" ht="15" customHeight="1">
      <c r="A156" s="73"/>
      <c r="B156" s="83" t="s">
        <v>554</v>
      </c>
      <c r="C156" s="77"/>
      <c r="D156" s="77"/>
      <c r="E156" s="77">
        <v>4100</v>
      </c>
      <c r="F156" s="113"/>
      <c r="G156" s="113"/>
      <c r="H156" s="113"/>
      <c r="I156" s="77">
        <f t="shared" si="13"/>
        <v>4100</v>
      </c>
      <c r="J156" s="167"/>
      <c r="K156" s="212">
        <f t="shared" si="6"/>
        <v>4100</v>
      </c>
      <c r="L156" s="78"/>
    </row>
    <row r="157" spans="1:12" ht="15" customHeight="1">
      <c r="A157" s="73"/>
      <c r="B157" s="83" t="s">
        <v>571</v>
      </c>
      <c r="C157" s="77"/>
      <c r="D157" s="77"/>
      <c r="E157" s="77">
        <v>1000</v>
      </c>
      <c r="F157" s="113"/>
      <c r="G157" s="113"/>
      <c r="H157" s="113"/>
      <c r="I157" s="77">
        <f t="shared" si="13"/>
        <v>1000</v>
      </c>
      <c r="J157" s="167"/>
      <c r="K157" s="212">
        <f t="shared" si="6"/>
        <v>1000</v>
      </c>
      <c r="L157" s="78"/>
    </row>
    <row r="158" spans="1:12" ht="15" customHeight="1">
      <c r="A158" s="73"/>
      <c r="B158" s="83" t="s">
        <v>572</v>
      </c>
      <c r="C158" s="77"/>
      <c r="D158" s="77"/>
      <c r="E158" s="77">
        <v>4500</v>
      </c>
      <c r="F158" s="113"/>
      <c r="G158" s="113"/>
      <c r="H158" s="113"/>
      <c r="I158" s="77">
        <f t="shared" si="13"/>
        <v>4500</v>
      </c>
      <c r="J158" s="167"/>
      <c r="K158" s="212">
        <f t="shared" si="6"/>
        <v>4500</v>
      </c>
      <c r="L158" s="78"/>
    </row>
    <row r="159" spans="1:12" ht="15" customHeight="1">
      <c r="A159" s="73"/>
      <c r="B159" s="83" t="s">
        <v>576</v>
      </c>
      <c r="C159" s="77"/>
      <c r="D159" s="77"/>
      <c r="E159" s="77">
        <v>1660</v>
      </c>
      <c r="F159" s="113"/>
      <c r="G159" s="113"/>
      <c r="H159" s="113"/>
      <c r="I159" s="77">
        <f t="shared" si="13"/>
        <v>1660</v>
      </c>
      <c r="J159" s="167"/>
      <c r="K159" s="212">
        <f t="shared" si="6"/>
        <v>1660</v>
      </c>
      <c r="L159" s="78"/>
    </row>
    <row r="160" spans="1:12" s="67" customFormat="1" ht="30" customHeight="1">
      <c r="A160" s="74" t="s">
        <v>398</v>
      </c>
      <c r="B160" s="75" t="s">
        <v>399</v>
      </c>
      <c r="C160" s="76"/>
      <c r="D160" s="76"/>
      <c r="E160" s="76">
        <f>E161</f>
        <v>1850</v>
      </c>
      <c r="F160" s="112">
        <v>0</v>
      </c>
      <c r="G160" s="112"/>
      <c r="H160" s="112"/>
      <c r="I160" s="76">
        <f t="shared" si="13"/>
        <v>1850</v>
      </c>
      <c r="J160" s="182"/>
      <c r="K160" s="212">
        <f t="shared" si="14" ref="K160:K223">I160+J160</f>
        <v>1850</v>
      </c>
      <c r="L160" s="78"/>
    </row>
    <row r="161" spans="1:12" ht="31.5" customHeight="1">
      <c r="A161" s="74" t="s">
        <v>400</v>
      </c>
      <c r="B161" s="75" t="s">
        <v>401</v>
      </c>
      <c r="C161" s="76"/>
      <c r="D161" s="76"/>
      <c r="E161" s="76">
        <f>SUM(E162:E162)</f>
        <v>1850</v>
      </c>
      <c r="F161" s="112"/>
      <c r="G161" s="112"/>
      <c r="H161" s="112"/>
      <c r="I161" s="76">
        <f t="shared" si="13"/>
        <v>1850</v>
      </c>
      <c r="J161" s="167"/>
      <c r="K161" s="212">
        <f t="shared" si="14"/>
        <v>1850</v>
      </c>
      <c r="L161" s="78"/>
    </row>
    <row r="162" spans="1:12" s="67" customFormat="1" ht="15" customHeight="1">
      <c r="A162" s="73"/>
      <c r="B162" s="82" t="s">
        <v>5</v>
      </c>
      <c r="C162" s="77"/>
      <c r="D162" s="77"/>
      <c r="E162" s="77">
        <v>1850</v>
      </c>
      <c r="F162" s="113"/>
      <c r="G162" s="113"/>
      <c r="H162" s="113"/>
      <c r="I162" s="77">
        <f t="shared" si="13"/>
        <v>1850</v>
      </c>
      <c r="J162" s="182"/>
      <c r="K162" s="212">
        <f t="shared" si="14"/>
        <v>1850</v>
      </c>
      <c r="L162" s="78"/>
    </row>
    <row r="163" spans="1:12" s="67" customFormat="1" ht="25.5" customHeight="1">
      <c r="A163" s="74" t="s">
        <v>402</v>
      </c>
      <c r="B163" s="74" t="s">
        <v>403</v>
      </c>
      <c r="C163" s="76"/>
      <c r="D163" s="76"/>
      <c r="E163" s="76">
        <f>E164+E208+E212+E213</f>
        <v>586154</v>
      </c>
      <c r="F163" s="112">
        <v>0</v>
      </c>
      <c r="G163" s="112"/>
      <c r="H163" s="112"/>
      <c r="I163" s="76">
        <f t="shared" si="13"/>
        <v>586154</v>
      </c>
      <c r="J163" s="182"/>
      <c r="K163" s="212">
        <f t="shared" si="14"/>
        <v>586154</v>
      </c>
      <c r="L163" s="78"/>
    </row>
    <row r="164" spans="1:12" ht="28.5" customHeight="1">
      <c r="A164" s="74" t="s">
        <v>404</v>
      </c>
      <c r="B164" s="75" t="s">
        <v>542</v>
      </c>
      <c r="C164" s="76"/>
      <c r="D164" s="76"/>
      <c r="E164" s="76">
        <f>SUM(E165:E207)</f>
        <v>173033</v>
      </c>
      <c r="F164" s="112"/>
      <c r="G164" s="112"/>
      <c r="H164" s="112"/>
      <c r="I164" s="76">
        <f t="shared" si="13"/>
        <v>173033</v>
      </c>
      <c r="J164" s="167"/>
      <c r="K164" s="212">
        <f t="shared" si="14"/>
        <v>173033</v>
      </c>
      <c r="L164" s="78"/>
    </row>
    <row r="165" spans="1:12" ht="15" customHeight="1">
      <c r="A165" s="73"/>
      <c r="B165" s="73" t="s">
        <v>405</v>
      </c>
      <c r="C165" s="77"/>
      <c r="D165" s="77"/>
      <c r="E165" s="77">
        <v>97964</v>
      </c>
      <c r="F165" s="113"/>
      <c r="G165" s="113"/>
      <c r="H165" s="113"/>
      <c r="I165" s="77">
        <f t="shared" si="13"/>
        <v>97964</v>
      </c>
      <c r="J165" s="167"/>
      <c r="K165" s="212">
        <f t="shared" si="14"/>
        <v>97964</v>
      </c>
      <c r="L165" s="78"/>
    </row>
    <row r="166" spans="1:12" ht="15" customHeight="1">
      <c r="A166" s="73"/>
      <c r="B166" s="73" t="s">
        <v>613</v>
      </c>
      <c r="C166" s="77"/>
      <c r="D166" s="77"/>
      <c r="E166" s="77">
        <v>3179</v>
      </c>
      <c r="F166" s="113"/>
      <c r="G166" s="113"/>
      <c r="H166" s="113"/>
      <c r="I166" s="77">
        <f t="shared" si="13"/>
        <v>3179</v>
      </c>
      <c r="J166" s="167"/>
      <c r="K166" s="212">
        <f t="shared" si="14"/>
        <v>3179</v>
      </c>
      <c r="L166" s="78"/>
    </row>
    <row r="167" spans="1:12" ht="15" customHeight="1">
      <c r="A167" s="73"/>
      <c r="B167" s="83" t="s">
        <v>645</v>
      </c>
      <c r="C167" s="77"/>
      <c r="D167" s="77"/>
      <c r="E167" s="77">
        <v>340</v>
      </c>
      <c r="F167" s="113"/>
      <c r="G167" s="113"/>
      <c r="H167" s="113"/>
      <c r="I167" s="77">
        <f t="shared" si="13"/>
        <v>340</v>
      </c>
      <c r="J167" s="167"/>
      <c r="K167" s="212">
        <f t="shared" si="14"/>
        <v>340</v>
      </c>
      <c r="L167" s="78"/>
    </row>
    <row r="168" spans="1:12" ht="21.75" customHeight="1">
      <c r="A168" s="73"/>
      <c r="B168" s="84" t="s">
        <v>663</v>
      </c>
      <c r="C168" s="77"/>
      <c r="D168" s="77"/>
      <c r="E168" s="70">
        <v>3370</v>
      </c>
      <c r="F168" s="115"/>
      <c r="G168" s="113"/>
      <c r="H168" s="113"/>
      <c r="I168" s="77">
        <f t="shared" si="13"/>
        <v>3370</v>
      </c>
      <c r="J168" s="167"/>
      <c r="K168" s="212">
        <f t="shared" si="14"/>
        <v>3370</v>
      </c>
      <c r="L168" s="78"/>
    </row>
    <row r="169" spans="1:12" ht="20.25" customHeight="1">
      <c r="A169" s="73"/>
      <c r="B169" s="83" t="s">
        <v>10</v>
      </c>
      <c r="C169" s="77"/>
      <c r="D169" s="77"/>
      <c r="E169" s="70">
        <v>420</v>
      </c>
      <c r="F169" s="115"/>
      <c r="G169" s="113"/>
      <c r="H169" s="113"/>
      <c r="I169" s="77">
        <f t="shared" si="13"/>
        <v>420</v>
      </c>
      <c r="J169" s="167"/>
      <c r="K169" s="212">
        <f t="shared" si="14"/>
        <v>420</v>
      </c>
      <c r="L169" s="78"/>
    </row>
    <row r="170" spans="1:12" ht="20.25" customHeight="1">
      <c r="A170" s="73"/>
      <c r="B170" s="83" t="s">
        <v>11</v>
      </c>
      <c r="C170" s="77"/>
      <c r="D170" s="77"/>
      <c r="E170" s="70">
        <f>477+312</f>
        <v>789</v>
      </c>
      <c r="F170" s="115"/>
      <c r="G170" s="113"/>
      <c r="H170" s="113"/>
      <c r="I170" s="77">
        <f t="shared" si="13"/>
        <v>789</v>
      </c>
      <c r="J170" s="167"/>
      <c r="K170" s="212">
        <f t="shared" si="14"/>
        <v>789</v>
      </c>
      <c r="L170" s="78"/>
    </row>
    <row r="171" spans="1:12" ht="20.25" customHeight="1">
      <c r="A171" s="73"/>
      <c r="B171" s="82" t="s">
        <v>13</v>
      </c>
      <c r="C171" s="77"/>
      <c r="D171" s="77"/>
      <c r="E171" s="77">
        <v>300</v>
      </c>
      <c r="F171" s="113"/>
      <c r="G171" s="113"/>
      <c r="H171" s="113"/>
      <c r="I171" s="77">
        <f t="shared" si="13"/>
        <v>300</v>
      </c>
      <c r="J171" s="167"/>
      <c r="K171" s="212">
        <f t="shared" si="14"/>
        <v>300</v>
      </c>
      <c r="L171" s="78"/>
    </row>
    <row r="172" spans="1:12" ht="21.75" customHeight="1">
      <c r="A172" s="73"/>
      <c r="B172" s="82" t="s">
        <v>253</v>
      </c>
      <c r="C172" s="77"/>
      <c r="D172" s="77"/>
      <c r="E172" s="77">
        <v>4000</v>
      </c>
      <c r="F172" s="113"/>
      <c r="G172" s="113"/>
      <c r="H172" s="113"/>
      <c r="I172" s="77">
        <f t="shared" si="13"/>
        <v>4000</v>
      </c>
      <c r="J172" s="167"/>
      <c r="K172" s="212">
        <f t="shared" si="14"/>
        <v>4000</v>
      </c>
      <c r="L172" s="78"/>
    </row>
    <row r="173" spans="1:12" ht="21" customHeight="1">
      <c r="A173" s="73"/>
      <c r="B173" s="82" t="s">
        <v>93</v>
      </c>
      <c r="C173" s="77"/>
      <c r="D173" s="77"/>
      <c r="E173" s="77">
        <v>516</v>
      </c>
      <c r="F173" s="113"/>
      <c r="G173" s="113"/>
      <c r="H173" s="113"/>
      <c r="I173" s="77">
        <f t="shared" si="13"/>
        <v>516</v>
      </c>
      <c r="J173" s="167"/>
      <c r="K173" s="212">
        <f t="shared" si="14"/>
        <v>516</v>
      </c>
      <c r="L173" s="78"/>
    </row>
    <row r="174" spans="1:12" ht="21" customHeight="1">
      <c r="A174" s="73"/>
      <c r="B174" s="82" t="s">
        <v>77</v>
      </c>
      <c r="C174" s="77"/>
      <c r="D174" s="77"/>
      <c r="E174" s="77">
        <v>700</v>
      </c>
      <c r="F174" s="113"/>
      <c r="G174" s="113"/>
      <c r="H174" s="113"/>
      <c r="I174" s="77">
        <f t="shared" si="13"/>
        <v>700</v>
      </c>
      <c r="J174" s="167"/>
      <c r="K174" s="212">
        <f t="shared" si="14"/>
        <v>700</v>
      </c>
      <c r="L174" s="78"/>
    </row>
    <row r="175" spans="1:12" ht="20.25" customHeight="1">
      <c r="A175" s="73"/>
      <c r="B175" s="82" t="s">
        <v>578</v>
      </c>
      <c r="C175" s="77"/>
      <c r="D175" s="77"/>
      <c r="E175" s="77">
        <v>2200</v>
      </c>
      <c r="F175" s="113"/>
      <c r="G175" s="113"/>
      <c r="H175" s="113"/>
      <c r="I175" s="77">
        <f t="shared" si="13"/>
        <v>2200</v>
      </c>
      <c r="J175" s="167"/>
      <c r="K175" s="212">
        <f t="shared" si="14"/>
        <v>2200</v>
      </c>
      <c r="L175" s="78"/>
    </row>
    <row r="176" spans="1:12" ht="18.75" customHeight="1">
      <c r="A176" s="73"/>
      <c r="B176" s="82" t="s">
        <v>581</v>
      </c>
      <c r="C176" s="77"/>
      <c r="D176" s="77"/>
      <c r="E176" s="77">
        <v>120</v>
      </c>
      <c r="F176" s="113"/>
      <c r="G176" s="113"/>
      <c r="H176" s="113"/>
      <c r="I176" s="77">
        <f t="shared" si="13"/>
        <v>120</v>
      </c>
      <c r="J176" s="167"/>
      <c r="K176" s="212">
        <f t="shared" si="14"/>
        <v>120</v>
      </c>
      <c r="L176" s="78"/>
    </row>
    <row r="177" spans="1:12" ht="15" customHeight="1">
      <c r="A177" s="73"/>
      <c r="B177" s="82" t="s">
        <v>94</v>
      </c>
      <c r="C177" s="77"/>
      <c r="D177" s="77"/>
      <c r="E177" s="77">
        <v>2700</v>
      </c>
      <c r="F177" s="113"/>
      <c r="G177" s="113"/>
      <c r="H177" s="113"/>
      <c r="I177" s="77">
        <f t="shared" si="13"/>
        <v>2700</v>
      </c>
      <c r="J177" s="167"/>
      <c r="K177" s="212">
        <f t="shared" si="14"/>
        <v>2700</v>
      </c>
      <c r="L177" s="78"/>
    </row>
    <row r="178" spans="1:12" ht="30" customHeight="1">
      <c r="A178" s="73"/>
      <c r="B178" s="82" t="s">
        <v>406</v>
      </c>
      <c r="C178" s="77"/>
      <c r="D178" s="77"/>
      <c r="E178" s="77">
        <v>4650</v>
      </c>
      <c r="F178" s="113"/>
      <c r="G178" s="113"/>
      <c r="H178" s="113"/>
      <c r="I178" s="77">
        <f t="shared" si="13"/>
        <v>4650</v>
      </c>
      <c r="J178" s="167"/>
      <c r="K178" s="212">
        <f t="shared" si="14"/>
        <v>4650</v>
      </c>
      <c r="L178" s="78"/>
    </row>
    <row r="179" spans="1:12" ht="15" customHeight="1">
      <c r="A179" s="73"/>
      <c r="B179" s="82" t="s">
        <v>65</v>
      </c>
      <c r="C179" s="77"/>
      <c r="D179" s="77"/>
      <c r="E179" s="77">
        <v>3850</v>
      </c>
      <c r="F179" s="113"/>
      <c r="G179" s="113"/>
      <c r="H179" s="113"/>
      <c r="I179" s="77">
        <f t="shared" si="13"/>
        <v>3850</v>
      </c>
      <c r="J179" s="167"/>
      <c r="K179" s="212">
        <f t="shared" si="14"/>
        <v>3850</v>
      </c>
      <c r="L179" s="78"/>
    </row>
    <row r="180" spans="1:12" ht="15" customHeight="1">
      <c r="A180" s="73"/>
      <c r="B180" s="82" t="s">
        <v>63</v>
      </c>
      <c r="C180" s="77"/>
      <c r="D180" s="77"/>
      <c r="E180" s="77">
        <v>8726</v>
      </c>
      <c r="F180" s="113"/>
      <c r="G180" s="113"/>
      <c r="H180" s="113"/>
      <c r="I180" s="77">
        <f t="shared" si="13"/>
        <v>8726</v>
      </c>
      <c r="J180" s="167"/>
      <c r="K180" s="212">
        <f t="shared" si="14"/>
        <v>8726</v>
      </c>
      <c r="L180" s="78"/>
    </row>
    <row r="181" spans="1:12" ht="15" customHeight="1">
      <c r="A181" s="73"/>
      <c r="B181" s="82" t="s">
        <v>98</v>
      </c>
      <c r="C181" s="77"/>
      <c r="D181" s="77"/>
      <c r="E181" s="77">
        <v>140</v>
      </c>
      <c r="F181" s="113"/>
      <c r="G181" s="113"/>
      <c r="H181" s="113"/>
      <c r="I181" s="77">
        <f t="shared" si="13"/>
        <v>140</v>
      </c>
      <c r="J181" s="167"/>
      <c r="K181" s="212">
        <f t="shared" si="14"/>
        <v>140</v>
      </c>
      <c r="L181" s="78"/>
    </row>
    <row r="182" spans="1:12" ht="15" customHeight="1">
      <c r="A182" s="73"/>
      <c r="B182" s="82" t="s">
        <v>138</v>
      </c>
      <c r="C182" s="77"/>
      <c r="D182" s="77"/>
      <c r="E182" s="77">
        <v>100</v>
      </c>
      <c r="F182" s="113"/>
      <c r="G182" s="113"/>
      <c r="H182" s="113"/>
      <c r="I182" s="77">
        <f t="shared" si="13"/>
        <v>100</v>
      </c>
      <c r="J182" s="167"/>
      <c r="K182" s="212">
        <f t="shared" si="14"/>
        <v>100</v>
      </c>
      <c r="L182" s="78"/>
    </row>
    <row r="183" spans="1:12" ht="15" customHeight="1">
      <c r="A183" s="73"/>
      <c r="B183" s="82" t="s">
        <v>226</v>
      </c>
      <c r="C183" s="77"/>
      <c r="D183" s="77"/>
      <c r="E183" s="77">
        <v>50</v>
      </c>
      <c r="F183" s="113"/>
      <c r="G183" s="113"/>
      <c r="H183" s="113"/>
      <c r="I183" s="77">
        <f t="shared" si="13"/>
        <v>50</v>
      </c>
      <c r="J183" s="167"/>
      <c r="K183" s="212">
        <f t="shared" si="14"/>
        <v>50</v>
      </c>
      <c r="L183" s="78"/>
    </row>
    <row r="184" spans="1:12" ht="15" customHeight="1">
      <c r="A184" s="73"/>
      <c r="B184" s="82" t="s">
        <v>24</v>
      </c>
      <c r="C184" s="77"/>
      <c r="D184" s="77"/>
      <c r="E184" s="77">
        <v>80</v>
      </c>
      <c r="F184" s="113"/>
      <c r="G184" s="113"/>
      <c r="H184" s="113"/>
      <c r="I184" s="77">
        <f t="shared" si="13"/>
        <v>80</v>
      </c>
      <c r="J184" s="167"/>
      <c r="K184" s="212">
        <f t="shared" si="14"/>
        <v>80</v>
      </c>
      <c r="L184" s="78"/>
    </row>
    <row r="185" spans="1:12" ht="15" customHeight="1">
      <c r="A185" s="73"/>
      <c r="B185" s="82" t="s">
        <v>25</v>
      </c>
      <c r="C185" s="77"/>
      <c r="D185" s="77"/>
      <c r="E185" s="77">
        <v>350</v>
      </c>
      <c r="F185" s="113"/>
      <c r="G185" s="113"/>
      <c r="H185" s="113"/>
      <c r="I185" s="77">
        <f t="shared" si="13"/>
        <v>350</v>
      </c>
      <c r="J185" s="167"/>
      <c r="K185" s="212">
        <f t="shared" si="14"/>
        <v>350</v>
      </c>
      <c r="L185" s="78"/>
    </row>
    <row r="186" spans="1:12" ht="15" customHeight="1">
      <c r="A186" s="73"/>
      <c r="B186" s="82" t="s">
        <v>373</v>
      </c>
      <c r="C186" s="77"/>
      <c r="D186" s="77"/>
      <c r="E186" s="77">
        <v>100</v>
      </c>
      <c r="F186" s="113"/>
      <c r="G186" s="113"/>
      <c r="H186" s="113"/>
      <c r="I186" s="77">
        <f t="shared" si="13"/>
        <v>100</v>
      </c>
      <c r="J186" s="167"/>
      <c r="K186" s="212">
        <f t="shared" si="14"/>
        <v>100</v>
      </c>
      <c r="L186" s="78"/>
    </row>
    <row r="187" spans="1:12" ht="15" customHeight="1">
      <c r="A187" s="73"/>
      <c r="B187" s="83" t="s">
        <v>102</v>
      </c>
      <c r="C187" s="77"/>
      <c r="D187" s="77"/>
      <c r="E187" s="77">
        <v>100</v>
      </c>
      <c r="F187" s="113"/>
      <c r="G187" s="113"/>
      <c r="H187" s="113"/>
      <c r="I187" s="77">
        <f t="shared" si="13"/>
        <v>100</v>
      </c>
      <c r="J187" s="167"/>
      <c r="K187" s="212">
        <f t="shared" si="14"/>
        <v>100</v>
      </c>
      <c r="L187" s="78"/>
    </row>
    <row r="188" spans="1:12" ht="15" customHeight="1">
      <c r="A188" s="73"/>
      <c r="B188" s="82" t="s">
        <v>143</v>
      </c>
      <c r="C188" s="77"/>
      <c r="D188" s="77"/>
      <c r="E188" s="77">
        <v>100</v>
      </c>
      <c r="F188" s="113"/>
      <c r="G188" s="113"/>
      <c r="H188" s="113"/>
      <c r="I188" s="77">
        <f t="shared" si="13"/>
        <v>100</v>
      </c>
      <c r="J188" s="167"/>
      <c r="K188" s="212">
        <f t="shared" si="14"/>
        <v>100</v>
      </c>
      <c r="L188" s="78"/>
    </row>
    <row r="189" spans="1:12" ht="15" customHeight="1">
      <c r="A189" s="73"/>
      <c r="B189" s="82" t="s">
        <v>135</v>
      </c>
      <c r="C189" s="77"/>
      <c r="D189" s="77"/>
      <c r="E189" s="77">
        <v>50</v>
      </c>
      <c r="F189" s="113"/>
      <c r="G189" s="113"/>
      <c r="H189" s="113"/>
      <c r="I189" s="77">
        <f t="shared" si="13"/>
        <v>50</v>
      </c>
      <c r="J189" s="167"/>
      <c r="K189" s="212">
        <f t="shared" si="14"/>
        <v>50</v>
      </c>
      <c r="L189" s="78"/>
    </row>
    <row r="190" spans="1:12" ht="15" customHeight="1">
      <c r="A190" s="73"/>
      <c r="B190" s="82" t="s">
        <v>153</v>
      </c>
      <c r="C190" s="77"/>
      <c r="D190" s="77"/>
      <c r="E190" s="77">
        <v>157</v>
      </c>
      <c r="F190" s="113"/>
      <c r="G190" s="113"/>
      <c r="H190" s="113"/>
      <c r="I190" s="77">
        <f t="shared" si="13"/>
        <v>157</v>
      </c>
      <c r="J190" s="167"/>
      <c r="K190" s="212">
        <f t="shared" si="14"/>
        <v>157</v>
      </c>
      <c r="L190" s="78"/>
    </row>
    <row r="191" spans="1:12" ht="15" customHeight="1">
      <c r="A191" s="73"/>
      <c r="B191" s="82" t="s">
        <v>374</v>
      </c>
      <c r="C191" s="77"/>
      <c r="D191" s="77"/>
      <c r="E191" s="77">
        <v>120</v>
      </c>
      <c r="F191" s="113"/>
      <c r="G191" s="113"/>
      <c r="H191" s="113"/>
      <c r="I191" s="77">
        <f t="shared" si="13"/>
        <v>120</v>
      </c>
      <c r="J191" s="167"/>
      <c r="K191" s="212">
        <f t="shared" si="14"/>
        <v>120</v>
      </c>
      <c r="L191" s="78"/>
    </row>
    <row r="192" spans="1:12" ht="15" customHeight="1">
      <c r="A192" s="73"/>
      <c r="B192" s="82" t="s">
        <v>407</v>
      </c>
      <c r="C192" s="77"/>
      <c r="D192" s="77"/>
      <c r="E192" s="77">
        <v>100</v>
      </c>
      <c r="F192" s="113"/>
      <c r="G192" s="113"/>
      <c r="H192" s="113"/>
      <c r="I192" s="77">
        <f t="shared" si="13"/>
        <v>100</v>
      </c>
      <c r="J192" s="167"/>
      <c r="K192" s="212">
        <f t="shared" si="14"/>
        <v>100</v>
      </c>
      <c r="L192" s="78"/>
    </row>
    <row r="193" spans="1:12" ht="15" customHeight="1">
      <c r="A193" s="73"/>
      <c r="B193" s="82" t="s">
        <v>100</v>
      </c>
      <c r="C193" s="77"/>
      <c r="D193" s="77"/>
      <c r="E193" s="77">
        <v>350</v>
      </c>
      <c r="F193" s="113"/>
      <c r="G193" s="113"/>
      <c r="H193" s="113"/>
      <c r="I193" s="77">
        <f t="shared" si="13"/>
        <v>350</v>
      </c>
      <c r="J193" s="167"/>
      <c r="K193" s="212">
        <f t="shared" si="14"/>
        <v>350</v>
      </c>
      <c r="L193" s="78"/>
    </row>
    <row r="194" spans="1:12" ht="15" customHeight="1">
      <c r="A194" s="73"/>
      <c r="B194" s="82" t="s">
        <v>99</v>
      </c>
      <c r="C194" s="77"/>
      <c r="D194" s="77"/>
      <c r="E194" s="77">
        <v>518</v>
      </c>
      <c r="F194" s="113"/>
      <c r="G194" s="113"/>
      <c r="H194" s="113"/>
      <c r="I194" s="77">
        <f t="shared" si="13"/>
        <v>518</v>
      </c>
      <c r="J194" s="167"/>
      <c r="K194" s="212">
        <f t="shared" si="14"/>
        <v>518</v>
      </c>
      <c r="L194" s="78"/>
    </row>
    <row r="195" spans="1:12" ht="18.75" customHeight="1">
      <c r="A195" s="73"/>
      <c r="B195" s="82" t="s">
        <v>103</v>
      </c>
      <c r="C195" s="77"/>
      <c r="D195" s="77"/>
      <c r="E195" s="77">
        <v>500</v>
      </c>
      <c r="F195" s="113"/>
      <c r="G195" s="113"/>
      <c r="H195" s="113"/>
      <c r="I195" s="77">
        <f t="shared" si="13"/>
        <v>500</v>
      </c>
      <c r="J195" s="167"/>
      <c r="K195" s="212">
        <f t="shared" si="14"/>
        <v>500</v>
      </c>
      <c r="L195" s="78"/>
    </row>
    <row r="196" spans="1:12" ht="31.5" customHeight="1">
      <c r="A196" s="73"/>
      <c r="B196" s="82" t="s">
        <v>580</v>
      </c>
      <c r="C196" s="77"/>
      <c r="D196" s="77"/>
      <c r="E196" s="77">
        <v>4000</v>
      </c>
      <c r="F196" s="113"/>
      <c r="G196" s="113"/>
      <c r="H196" s="113"/>
      <c r="I196" s="77">
        <f t="shared" si="13"/>
        <v>4000</v>
      </c>
      <c r="J196" s="167"/>
      <c r="K196" s="212">
        <f t="shared" si="14"/>
        <v>4000</v>
      </c>
      <c r="L196" s="78"/>
    </row>
    <row r="197" spans="1:12" ht="31.5" customHeight="1">
      <c r="A197" s="73"/>
      <c r="B197" s="82" t="s">
        <v>629</v>
      </c>
      <c r="C197" s="77"/>
      <c r="D197" s="77"/>
      <c r="E197" s="77">
        <v>2500</v>
      </c>
      <c r="F197" s="113"/>
      <c r="G197" s="113"/>
      <c r="H197" s="113"/>
      <c r="I197" s="77">
        <f t="shared" si="13"/>
        <v>2500</v>
      </c>
      <c r="J197" s="167"/>
      <c r="K197" s="212">
        <f t="shared" si="14"/>
        <v>2500</v>
      </c>
      <c r="L197" s="78"/>
    </row>
    <row r="198" spans="1:12" ht="15" customHeight="1">
      <c r="A198" s="73"/>
      <c r="B198" s="82" t="s">
        <v>32</v>
      </c>
      <c r="C198" s="77"/>
      <c r="D198" s="77"/>
      <c r="E198" s="77">
        <v>15072</v>
      </c>
      <c r="F198" s="113"/>
      <c r="G198" s="113"/>
      <c r="H198" s="113"/>
      <c r="I198" s="77">
        <f t="shared" si="13"/>
        <v>15072</v>
      </c>
      <c r="J198" s="167"/>
      <c r="K198" s="212">
        <f t="shared" si="14"/>
        <v>15072</v>
      </c>
      <c r="L198" s="78"/>
    </row>
    <row r="199" spans="1:12" ht="15" customHeight="1">
      <c r="A199" s="73"/>
      <c r="B199" s="82" t="s">
        <v>567</v>
      </c>
      <c r="C199" s="77"/>
      <c r="D199" s="77"/>
      <c r="E199" s="77">
        <v>2233</v>
      </c>
      <c r="F199" s="113"/>
      <c r="G199" s="113"/>
      <c r="H199" s="113"/>
      <c r="I199" s="77">
        <f t="shared" si="13"/>
        <v>2233</v>
      </c>
      <c r="J199" s="167"/>
      <c r="K199" s="212">
        <f t="shared" si="14"/>
        <v>2233</v>
      </c>
      <c r="L199" s="78"/>
    </row>
    <row r="200" spans="1:12" ht="15" customHeight="1">
      <c r="A200" s="73"/>
      <c r="B200" s="82" t="s">
        <v>583</v>
      </c>
      <c r="C200" s="77"/>
      <c r="D200" s="77"/>
      <c r="E200" s="77">
        <v>3800</v>
      </c>
      <c r="F200" s="113"/>
      <c r="G200" s="113"/>
      <c r="H200" s="113"/>
      <c r="I200" s="77">
        <f t="shared" si="13"/>
        <v>3800</v>
      </c>
      <c r="J200" s="167"/>
      <c r="K200" s="212">
        <f t="shared" si="14"/>
        <v>3800</v>
      </c>
      <c r="L200" s="78"/>
    </row>
    <row r="201" spans="1:12" ht="15" customHeight="1">
      <c r="A201" s="73"/>
      <c r="B201" s="82" t="s">
        <v>111</v>
      </c>
      <c r="C201" s="77"/>
      <c r="D201" s="77"/>
      <c r="E201" s="70">
        <v>150</v>
      </c>
      <c r="F201" s="115"/>
      <c r="G201" s="113"/>
      <c r="H201" s="113"/>
      <c r="I201" s="77">
        <f t="shared" si="13"/>
        <v>150</v>
      </c>
      <c r="J201" s="167"/>
      <c r="K201" s="212">
        <f t="shared" si="14"/>
        <v>150</v>
      </c>
      <c r="L201" s="78"/>
    </row>
    <row r="202" spans="1:12" ht="15" customHeight="1">
      <c r="A202" s="73"/>
      <c r="B202" s="82" t="s">
        <v>584</v>
      </c>
      <c r="C202" s="77"/>
      <c r="D202" s="77"/>
      <c r="E202" s="77">
        <v>2201</v>
      </c>
      <c r="F202" s="113"/>
      <c r="G202" s="113"/>
      <c r="H202" s="113"/>
      <c r="I202" s="77">
        <f t="shared" si="13"/>
        <v>2201</v>
      </c>
      <c r="J202" s="167"/>
      <c r="K202" s="212">
        <f t="shared" si="14"/>
        <v>2201</v>
      </c>
      <c r="L202" s="78"/>
    </row>
    <row r="203" spans="1:12" ht="15" customHeight="1">
      <c r="A203" s="73"/>
      <c r="B203" s="82" t="s">
        <v>113</v>
      </c>
      <c r="C203" s="77"/>
      <c r="D203" s="77"/>
      <c r="E203" s="77">
        <v>1000</v>
      </c>
      <c r="F203" s="113"/>
      <c r="G203" s="113"/>
      <c r="H203" s="113"/>
      <c r="I203" s="77">
        <f t="shared" si="13"/>
        <v>1000</v>
      </c>
      <c r="J203" s="167"/>
      <c r="K203" s="212">
        <f t="shared" si="14"/>
        <v>1000</v>
      </c>
      <c r="L203" s="78"/>
    </row>
    <row r="204" spans="1:12" ht="15" customHeight="1">
      <c r="A204" s="73"/>
      <c r="B204" s="82" t="s">
        <v>242</v>
      </c>
      <c r="C204" s="77"/>
      <c r="D204" s="77"/>
      <c r="E204" s="77">
        <v>552</v>
      </c>
      <c r="F204" s="113"/>
      <c r="G204" s="113"/>
      <c r="H204" s="113"/>
      <c r="I204" s="77">
        <f t="shared" si="15" ref="I204:I264">E204</f>
        <v>552</v>
      </c>
      <c r="J204" s="167"/>
      <c r="K204" s="212">
        <f t="shared" si="14"/>
        <v>552</v>
      </c>
      <c r="L204" s="78"/>
    </row>
    <row r="205" spans="1:12" ht="17.25" customHeight="1">
      <c r="A205" s="73"/>
      <c r="B205" s="82" t="s">
        <v>582</v>
      </c>
      <c r="C205" s="77"/>
      <c r="D205" s="77"/>
      <c r="E205" s="77">
        <v>1309</v>
      </c>
      <c r="F205" s="113"/>
      <c r="G205" s="113"/>
      <c r="H205" s="113"/>
      <c r="I205" s="77">
        <f t="shared" si="15"/>
        <v>1309</v>
      </c>
      <c r="J205" s="167"/>
      <c r="K205" s="212">
        <f t="shared" si="14"/>
        <v>1309</v>
      </c>
      <c r="L205" s="78"/>
    </row>
    <row r="206" spans="1:12" ht="15" customHeight="1">
      <c r="A206" s="73"/>
      <c r="B206" s="82" t="s">
        <v>123</v>
      </c>
      <c r="C206" s="77"/>
      <c r="D206" s="77"/>
      <c r="E206" s="77">
        <v>877</v>
      </c>
      <c r="F206" s="113"/>
      <c r="G206" s="113"/>
      <c r="H206" s="113"/>
      <c r="I206" s="77">
        <f t="shared" si="15"/>
        <v>877</v>
      </c>
      <c r="J206" s="167"/>
      <c r="K206" s="212">
        <f t="shared" si="14"/>
        <v>877</v>
      </c>
      <c r="L206" s="78"/>
    </row>
    <row r="207" spans="1:12" ht="15" customHeight="1">
      <c r="A207" s="73"/>
      <c r="B207" s="82" t="s">
        <v>577</v>
      </c>
      <c r="C207" s="77"/>
      <c r="D207" s="77"/>
      <c r="E207" s="77">
        <v>2700</v>
      </c>
      <c r="F207" s="113"/>
      <c r="G207" s="113"/>
      <c r="H207" s="113"/>
      <c r="I207" s="77">
        <f t="shared" si="15"/>
        <v>2700</v>
      </c>
      <c r="J207" s="167"/>
      <c r="K207" s="212">
        <f t="shared" si="14"/>
        <v>2700</v>
      </c>
      <c r="L207" s="78"/>
    </row>
    <row r="208" spans="1:12" ht="15" customHeight="1">
      <c r="A208" s="74" t="s">
        <v>408</v>
      </c>
      <c r="B208" s="74" t="s">
        <v>409</v>
      </c>
      <c r="C208" s="76"/>
      <c r="D208" s="76"/>
      <c r="E208" s="76">
        <f>SUM(E209:E211)</f>
        <v>2465</v>
      </c>
      <c r="F208" s="112"/>
      <c r="G208" s="112"/>
      <c r="H208" s="112"/>
      <c r="I208" s="76">
        <f t="shared" si="15"/>
        <v>2465</v>
      </c>
      <c r="J208" s="167"/>
      <c r="K208" s="212">
        <f t="shared" si="14"/>
        <v>2465</v>
      </c>
      <c r="L208" s="78"/>
    </row>
    <row r="209" spans="1:12" s="67" customFormat="1" ht="15" customHeight="1">
      <c r="A209" s="73"/>
      <c r="B209" s="83" t="s">
        <v>393</v>
      </c>
      <c r="C209" s="77"/>
      <c r="D209" s="77"/>
      <c r="E209" s="77">
        <v>800</v>
      </c>
      <c r="F209" s="113"/>
      <c r="G209" s="113"/>
      <c r="H209" s="113"/>
      <c r="I209" s="77">
        <f t="shared" si="15"/>
        <v>800</v>
      </c>
      <c r="J209" s="182"/>
      <c r="K209" s="212">
        <f t="shared" si="14"/>
        <v>800</v>
      </c>
      <c r="L209" s="78"/>
    </row>
    <row r="210" spans="1:12" s="68" customFormat="1" ht="21" customHeight="1">
      <c r="A210" s="73"/>
      <c r="B210" s="72" t="s">
        <v>614</v>
      </c>
      <c r="C210" s="77"/>
      <c r="D210" s="77"/>
      <c r="E210" s="77">
        <v>1400</v>
      </c>
      <c r="F210" s="113"/>
      <c r="G210" s="113"/>
      <c r="H210" s="113"/>
      <c r="I210" s="77">
        <f t="shared" si="15"/>
        <v>1400</v>
      </c>
      <c r="J210" s="198"/>
      <c r="K210" s="212">
        <f t="shared" si="14"/>
        <v>1400</v>
      </c>
      <c r="L210" s="78"/>
    </row>
    <row r="211" spans="1:12" ht="20.25" customHeight="1">
      <c r="A211" s="73"/>
      <c r="B211" s="72" t="s">
        <v>77</v>
      </c>
      <c r="C211" s="77"/>
      <c r="D211" s="77"/>
      <c r="E211" s="77">
        <v>265</v>
      </c>
      <c r="F211" s="113"/>
      <c r="G211" s="113"/>
      <c r="H211" s="113"/>
      <c r="I211" s="77">
        <f t="shared" si="15"/>
        <v>265</v>
      </c>
      <c r="J211" s="167"/>
      <c r="K211" s="212">
        <f t="shared" si="14"/>
        <v>265</v>
      </c>
      <c r="L211" s="78"/>
    </row>
    <row r="212" spans="1:12" ht="15" customHeight="1">
      <c r="A212" s="74" t="s">
        <v>410</v>
      </c>
      <c r="B212" s="74" t="s">
        <v>411</v>
      </c>
      <c r="C212" s="76"/>
      <c r="D212" s="76"/>
      <c r="E212" s="76">
        <v>350000</v>
      </c>
      <c r="F212" s="112"/>
      <c r="G212" s="112"/>
      <c r="H212" s="112"/>
      <c r="I212" s="76">
        <f t="shared" si="15"/>
        <v>350000</v>
      </c>
      <c r="J212" s="167"/>
      <c r="K212" s="212">
        <f t="shared" si="14"/>
        <v>350000</v>
      </c>
      <c r="L212" s="78"/>
    </row>
    <row r="213" spans="1:12" ht="15" customHeight="1">
      <c r="A213" s="74" t="s">
        <v>412</v>
      </c>
      <c r="B213" s="74" t="s">
        <v>413</v>
      </c>
      <c r="C213" s="76"/>
      <c r="D213" s="76"/>
      <c r="E213" s="76">
        <f>SUM(E214:E232)</f>
        <v>60656</v>
      </c>
      <c r="F213" s="112"/>
      <c r="G213" s="112"/>
      <c r="H213" s="112"/>
      <c r="I213" s="76">
        <f t="shared" si="15"/>
        <v>60656</v>
      </c>
      <c r="J213" s="167"/>
      <c r="K213" s="212">
        <f t="shared" si="14"/>
        <v>60656</v>
      </c>
      <c r="L213" s="78"/>
    </row>
    <row r="214" spans="1:12" ht="15" customHeight="1">
      <c r="A214" s="73"/>
      <c r="B214" s="72" t="s">
        <v>433</v>
      </c>
      <c r="C214" s="77"/>
      <c r="D214" s="77"/>
      <c r="E214" s="77">
        <v>17000</v>
      </c>
      <c r="F214" s="113"/>
      <c r="G214" s="113"/>
      <c r="H214" s="113"/>
      <c r="I214" s="77">
        <f t="shared" si="15"/>
        <v>17000</v>
      </c>
      <c r="J214" s="167"/>
      <c r="K214" s="212">
        <f t="shared" si="14"/>
        <v>17000</v>
      </c>
      <c r="L214" s="78"/>
    </row>
    <row r="215" spans="1:12" ht="15" customHeight="1">
      <c r="A215" s="73"/>
      <c r="B215" s="73" t="s">
        <v>577</v>
      </c>
      <c r="C215" s="77"/>
      <c r="D215" s="77"/>
      <c r="E215" s="77">
        <v>11780</v>
      </c>
      <c r="F215" s="113"/>
      <c r="G215" s="113"/>
      <c r="H215" s="113"/>
      <c r="I215" s="77">
        <f t="shared" si="15"/>
        <v>11780</v>
      </c>
      <c r="J215" s="167"/>
      <c r="K215" s="212">
        <f t="shared" si="14"/>
        <v>11780</v>
      </c>
      <c r="L215" s="78"/>
    </row>
    <row r="216" spans="1:12" ht="15" customHeight="1">
      <c r="A216" s="73"/>
      <c r="B216" s="73" t="s">
        <v>358</v>
      </c>
      <c r="C216" s="77"/>
      <c r="D216" s="77"/>
      <c r="E216" s="77">
        <v>5534</v>
      </c>
      <c r="F216" s="113"/>
      <c r="G216" s="113"/>
      <c r="H216" s="113"/>
      <c r="I216" s="77">
        <f t="shared" si="15"/>
        <v>5534</v>
      </c>
      <c r="J216" s="167"/>
      <c r="K216" s="212">
        <f t="shared" si="14"/>
        <v>5534</v>
      </c>
      <c r="L216" s="78"/>
    </row>
    <row r="217" spans="1:12" ht="15" customHeight="1">
      <c r="A217" s="73"/>
      <c r="B217" s="73" t="s">
        <v>590</v>
      </c>
      <c r="C217" s="77"/>
      <c r="D217" s="77"/>
      <c r="E217" s="77">
        <v>552</v>
      </c>
      <c r="F217" s="113"/>
      <c r="G217" s="113"/>
      <c r="H217" s="113"/>
      <c r="I217" s="77">
        <f t="shared" si="15"/>
        <v>552</v>
      </c>
      <c r="J217" s="167"/>
      <c r="K217" s="212">
        <f t="shared" si="14"/>
        <v>552</v>
      </c>
      <c r="L217" s="78"/>
    </row>
    <row r="218" spans="1:12" ht="32.25" customHeight="1">
      <c r="A218" s="73"/>
      <c r="B218" s="72" t="s">
        <v>443</v>
      </c>
      <c r="C218" s="77"/>
      <c r="D218" s="77"/>
      <c r="E218" s="77">
        <v>283</v>
      </c>
      <c r="F218" s="113"/>
      <c r="G218" s="113"/>
      <c r="H218" s="113"/>
      <c r="I218" s="77">
        <f t="shared" si="15"/>
        <v>283</v>
      </c>
      <c r="J218" s="167"/>
      <c r="K218" s="212">
        <f t="shared" si="14"/>
        <v>283</v>
      </c>
      <c r="L218" s="78"/>
    </row>
    <row r="219" spans="1:12" ht="15" customHeight="1">
      <c r="A219" s="73"/>
      <c r="B219" s="73" t="s">
        <v>10</v>
      </c>
      <c r="C219" s="77"/>
      <c r="D219" s="77"/>
      <c r="E219" s="77">
        <v>100</v>
      </c>
      <c r="F219" s="113"/>
      <c r="G219" s="113"/>
      <c r="H219" s="113"/>
      <c r="I219" s="77">
        <f t="shared" si="15"/>
        <v>100</v>
      </c>
      <c r="J219" s="167"/>
      <c r="K219" s="212">
        <f t="shared" si="14"/>
        <v>100</v>
      </c>
      <c r="L219" s="78"/>
    </row>
    <row r="220" spans="1:12" ht="18.75" customHeight="1">
      <c r="A220" s="73"/>
      <c r="B220" s="72" t="s">
        <v>16</v>
      </c>
      <c r="C220" s="77"/>
      <c r="D220" s="77"/>
      <c r="E220" s="70">
        <v>781</v>
      </c>
      <c r="F220" s="115"/>
      <c r="G220" s="113"/>
      <c r="H220" s="113"/>
      <c r="I220" s="77">
        <f t="shared" si="15"/>
        <v>781</v>
      </c>
      <c r="J220" s="167"/>
      <c r="K220" s="212">
        <f t="shared" si="14"/>
        <v>781</v>
      </c>
      <c r="L220" s="78"/>
    </row>
    <row r="221" spans="1:12" ht="15" customHeight="1">
      <c r="A221" s="73"/>
      <c r="B221" s="73" t="s">
        <v>18</v>
      </c>
      <c r="C221" s="77"/>
      <c r="D221" s="77"/>
      <c r="E221" s="70">
        <v>67</v>
      </c>
      <c r="F221" s="115"/>
      <c r="G221" s="113"/>
      <c r="H221" s="113"/>
      <c r="I221" s="77">
        <f t="shared" si="15"/>
        <v>67</v>
      </c>
      <c r="J221" s="167"/>
      <c r="K221" s="212">
        <f t="shared" si="14"/>
        <v>67</v>
      </c>
      <c r="L221" s="78"/>
    </row>
    <row r="222" spans="1:12" ht="15" customHeight="1">
      <c r="A222" s="73"/>
      <c r="B222" s="73" t="s">
        <v>11</v>
      </c>
      <c r="C222" s="77"/>
      <c r="D222" s="77"/>
      <c r="E222" s="70">
        <v>66</v>
      </c>
      <c r="F222" s="115"/>
      <c r="G222" s="113"/>
      <c r="H222" s="113"/>
      <c r="I222" s="77">
        <f t="shared" si="15"/>
        <v>66</v>
      </c>
      <c r="J222" s="167"/>
      <c r="K222" s="212">
        <f t="shared" si="14"/>
        <v>66</v>
      </c>
      <c r="L222" s="78"/>
    </row>
    <row r="223" spans="1:12" ht="15" customHeight="1">
      <c r="A223" s="73"/>
      <c r="B223" s="73" t="s">
        <v>585</v>
      </c>
      <c r="C223" s="77"/>
      <c r="D223" s="77"/>
      <c r="E223" s="70">
        <v>937</v>
      </c>
      <c r="F223" s="115"/>
      <c r="G223" s="113"/>
      <c r="H223" s="113"/>
      <c r="I223" s="77">
        <f t="shared" si="15"/>
        <v>937</v>
      </c>
      <c r="J223" s="167"/>
      <c r="K223" s="212">
        <f t="shared" si="14"/>
        <v>937</v>
      </c>
      <c r="L223" s="78"/>
    </row>
    <row r="224" spans="1:12" ht="15" customHeight="1">
      <c r="A224" s="73"/>
      <c r="B224" s="73" t="s">
        <v>13</v>
      </c>
      <c r="C224" s="77"/>
      <c r="D224" s="77"/>
      <c r="E224" s="77">
        <f>2244+190</f>
        <v>2434</v>
      </c>
      <c r="F224" s="113"/>
      <c r="G224" s="113"/>
      <c r="H224" s="113"/>
      <c r="I224" s="77">
        <f t="shared" si="15"/>
        <v>2434</v>
      </c>
      <c r="J224" s="167"/>
      <c r="K224" s="212">
        <f t="shared" si="16" ref="K224:K287">I224+J224</f>
        <v>2434</v>
      </c>
      <c r="L224" s="78"/>
    </row>
    <row r="225" spans="1:12" ht="15" customHeight="1">
      <c r="A225" s="73"/>
      <c r="B225" s="73" t="s">
        <v>253</v>
      </c>
      <c r="C225" s="77"/>
      <c r="D225" s="77"/>
      <c r="E225" s="77">
        <v>7090</v>
      </c>
      <c r="F225" s="113"/>
      <c r="G225" s="113"/>
      <c r="H225" s="113"/>
      <c r="I225" s="77">
        <f t="shared" si="15"/>
        <v>7090</v>
      </c>
      <c r="J225" s="167"/>
      <c r="K225" s="212">
        <f t="shared" si="16"/>
        <v>7090</v>
      </c>
      <c r="L225" s="78"/>
    </row>
    <row r="226" spans="1:12" ht="17.25" customHeight="1">
      <c r="A226" s="73"/>
      <c r="B226" s="72" t="s">
        <v>93</v>
      </c>
      <c r="C226" s="77"/>
      <c r="D226" s="77"/>
      <c r="E226" s="77">
        <f>1775+750</f>
        <v>2525</v>
      </c>
      <c r="F226" s="113"/>
      <c r="G226" s="113"/>
      <c r="H226" s="113"/>
      <c r="I226" s="77">
        <f t="shared" si="15"/>
        <v>2525</v>
      </c>
      <c r="J226" s="167"/>
      <c r="K226" s="212">
        <f t="shared" si="16"/>
        <v>2525</v>
      </c>
      <c r="L226" s="78"/>
    </row>
    <row r="227" spans="1:12" ht="20.25" customHeight="1">
      <c r="A227" s="73"/>
      <c r="B227" s="73" t="s">
        <v>92</v>
      </c>
      <c r="C227" s="77"/>
      <c r="D227" s="77"/>
      <c r="E227" s="77">
        <v>3461</v>
      </c>
      <c r="F227" s="113"/>
      <c r="G227" s="113"/>
      <c r="H227" s="113"/>
      <c r="I227" s="77">
        <f t="shared" si="15"/>
        <v>3461</v>
      </c>
      <c r="J227" s="167"/>
      <c r="K227" s="212">
        <f t="shared" si="16"/>
        <v>3461</v>
      </c>
      <c r="L227" s="78"/>
    </row>
    <row r="228" spans="1:12" ht="20.25" customHeight="1">
      <c r="A228" s="73"/>
      <c r="B228" s="73" t="s">
        <v>659</v>
      </c>
      <c r="C228" s="77"/>
      <c r="D228" s="77"/>
      <c r="E228" s="77">
        <v>56</v>
      </c>
      <c r="F228" s="113"/>
      <c r="G228" s="113"/>
      <c r="H228" s="113"/>
      <c r="I228" s="77">
        <f t="shared" si="15"/>
        <v>56</v>
      </c>
      <c r="J228" s="167"/>
      <c r="K228" s="212">
        <f t="shared" si="16"/>
        <v>56</v>
      </c>
      <c r="L228" s="78"/>
    </row>
    <row r="229" spans="1:12" ht="15" customHeight="1">
      <c r="A229" s="73"/>
      <c r="B229" s="73" t="s">
        <v>255</v>
      </c>
      <c r="C229" s="77"/>
      <c r="D229" s="77"/>
      <c r="E229" s="77">
        <v>240</v>
      </c>
      <c r="F229" s="113"/>
      <c r="G229" s="113"/>
      <c r="H229" s="113"/>
      <c r="I229" s="77">
        <f t="shared" si="15"/>
        <v>240</v>
      </c>
      <c r="J229" s="167"/>
      <c r="K229" s="212">
        <f t="shared" si="16"/>
        <v>240</v>
      </c>
      <c r="L229" s="78"/>
    </row>
    <row r="230" spans="1:12" ht="15" customHeight="1">
      <c r="A230" s="73"/>
      <c r="B230" s="72" t="s">
        <v>136</v>
      </c>
      <c r="C230" s="77"/>
      <c r="D230" s="77"/>
      <c r="E230" s="77">
        <f>150+1600</f>
        <v>1750</v>
      </c>
      <c r="F230" s="113"/>
      <c r="G230" s="113"/>
      <c r="H230" s="113"/>
      <c r="I230" s="77">
        <f t="shared" si="15"/>
        <v>1750</v>
      </c>
      <c r="J230" s="167"/>
      <c r="K230" s="212">
        <f t="shared" si="16"/>
        <v>1750</v>
      </c>
      <c r="L230" s="78"/>
    </row>
    <row r="231" spans="1:12" ht="14.25" customHeight="1">
      <c r="A231" s="73"/>
      <c r="B231" s="73" t="s">
        <v>663</v>
      </c>
      <c r="C231" s="77"/>
      <c r="D231" s="77"/>
      <c r="E231" s="77">
        <v>2650</v>
      </c>
      <c r="F231" s="113"/>
      <c r="G231" s="113"/>
      <c r="H231" s="113"/>
      <c r="I231" s="77">
        <f t="shared" si="15"/>
        <v>2650</v>
      </c>
      <c r="J231" s="167"/>
      <c r="K231" s="212">
        <f t="shared" si="16"/>
        <v>2650</v>
      </c>
      <c r="L231" s="78"/>
    </row>
    <row r="232" spans="1:12" ht="15" customHeight="1">
      <c r="A232" s="73"/>
      <c r="B232" s="73" t="s">
        <v>657</v>
      </c>
      <c r="C232" s="77"/>
      <c r="D232" s="77"/>
      <c r="E232" s="77">
        <v>3350</v>
      </c>
      <c r="F232" s="113"/>
      <c r="G232" s="113"/>
      <c r="H232" s="113"/>
      <c r="I232" s="77">
        <f t="shared" si="15"/>
        <v>3350</v>
      </c>
      <c r="J232" s="167"/>
      <c r="K232" s="212">
        <f t="shared" si="16"/>
        <v>3350</v>
      </c>
      <c r="L232" s="78"/>
    </row>
    <row r="233" spans="1:12" s="67" customFormat="1" ht="32.25" customHeight="1">
      <c r="A233" s="74" t="s">
        <v>414</v>
      </c>
      <c r="B233" s="75" t="s">
        <v>415</v>
      </c>
      <c r="C233" s="76"/>
      <c r="D233" s="76"/>
      <c r="E233" s="76">
        <f>E234+E241+E251+E273+E357</f>
        <v>4897541</v>
      </c>
      <c r="F233" s="76">
        <f>F234+F241+F251+F273+F357</f>
        <v>0</v>
      </c>
      <c r="G233" s="113"/>
      <c r="H233" s="113"/>
      <c r="I233" s="76">
        <f>E233</f>
        <v>4897541</v>
      </c>
      <c r="J233" s="196">
        <f>F233</f>
        <v>0</v>
      </c>
      <c r="K233" s="94">
        <f t="shared" si="16"/>
        <v>4897541</v>
      </c>
      <c r="L233" s="78"/>
    </row>
    <row r="234" spans="1:12" ht="32.25" customHeight="1">
      <c r="A234" s="74" t="s">
        <v>416</v>
      </c>
      <c r="B234" s="75" t="s">
        <v>417</v>
      </c>
      <c r="C234" s="76"/>
      <c r="D234" s="76"/>
      <c r="E234" s="76">
        <f>SUM(E235:E240)</f>
        <v>2141352</v>
      </c>
      <c r="F234" s="76">
        <f>SUM(F235:F240)</f>
        <v>0</v>
      </c>
      <c r="G234" s="112"/>
      <c r="H234" s="112"/>
      <c r="I234" s="76">
        <f t="shared" si="15"/>
        <v>2141352</v>
      </c>
      <c r="J234" s="167"/>
      <c r="K234" s="212">
        <f t="shared" si="16"/>
        <v>2141352</v>
      </c>
      <c r="L234" s="78"/>
    </row>
    <row r="235" spans="1:12" ht="15" customHeight="1">
      <c r="A235" s="73"/>
      <c r="B235" s="72" t="s">
        <v>37</v>
      </c>
      <c r="C235" s="77"/>
      <c r="D235" s="77"/>
      <c r="E235" s="70">
        <v>1521164</v>
      </c>
      <c r="F235" s="115"/>
      <c r="G235" s="113"/>
      <c r="H235" s="113"/>
      <c r="I235" s="77">
        <f t="shared" si="15"/>
        <v>1521164</v>
      </c>
      <c r="J235" s="167"/>
      <c r="K235" s="212">
        <f t="shared" si="16"/>
        <v>1521164</v>
      </c>
      <c r="L235" s="78"/>
    </row>
    <row r="236" spans="1:12" ht="15" customHeight="1">
      <c r="A236" s="73"/>
      <c r="B236" s="72" t="s">
        <v>67</v>
      </c>
      <c r="C236" s="77"/>
      <c r="D236" s="77"/>
      <c r="E236" s="77">
        <v>10796</v>
      </c>
      <c r="F236" s="113"/>
      <c r="G236" s="113"/>
      <c r="H236" s="113"/>
      <c r="I236" s="77">
        <f t="shared" si="15"/>
        <v>10796</v>
      </c>
      <c r="J236" s="167"/>
      <c r="K236" s="212">
        <f t="shared" si="16"/>
        <v>10796</v>
      </c>
      <c r="L236" s="78"/>
    </row>
    <row r="237" spans="1:12" ht="15" customHeight="1">
      <c r="A237" s="73"/>
      <c r="B237" s="72" t="s">
        <v>384</v>
      </c>
      <c r="C237" s="77"/>
      <c r="D237" s="77"/>
      <c r="E237" s="70">
        <v>243177</v>
      </c>
      <c r="F237" s="115"/>
      <c r="G237" s="113"/>
      <c r="H237" s="113"/>
      <c r="I237" s="77">
        <f t="shared" si="15"/>
        <v>243177</v>
      </c>
      <c r="J237" s="167"/>
      <c r="K237" s="212">
        <f t="shared" si="16"/>
        <v>243177</v>
      </c>
      <c r="L237" s="78"/>
    </row>
    <row r="238" spans="1:12" ht="15" customHeight="1">
      <c r="A238" s="73"/>
      <c r="B238" s="82" t="s">
        <v>80</v>
      </c>
      <c r="C238" s="77"/>
      <c r="D238" s="77"/>
      <c r="E238" s="77">
        <v>201956</v>
      </c>
      <c r="F238" s="113"/>
      <c r="G238" s="113"/>
      <c r="H238" s="113"/>
      <c r="I238" s="77">
        <f t="shared" si="15"/>
        <v>201956</v>
      </c>
      <c r="J238" s="167"/>
      <c r="K238" s="212">
        <f t="shared" si="16"/>
        <v>201956</v>
      </c>
      <c r="L238" s="78"/>
    </row>
    <row r="239" spans="1:12" ht="15" customHeight="1">
      <c r="A239" s="73"/>
      <c r="B239" s="82" t="s">
        <v>81</v>
      </c>
      <c r="C239" s="77"/>
      <c r="D239" s="77"/>
      <c r="E239" s="77">
        <v>153448</v>
      </c>
      <c r="F239" s="113"/>
      <c r="G239" s="113"/>
      <c r="H239" s="113"/>
      <c r="I239" s="77">
        <f t="shared" si="15"/>
        <v>153448</v>
      </c>
      <c r="J239" s="167"/>
      <c r="K239" s="212">
        <f t="shared" si="16"/>
        <v>153448</v>
      </c>
      <c r="L239" s="78"/>
    </row>
    <row r="240" spans="1:12" ht="15" customHeight="1">
      <c r="A240" s="73"/>
      <c r="B240" s="82" t="s">
        <v>358</v>
      </c>
      <c r="C240" s="77"/>
      <c r="D240" s="77"/>
      <c r="E240" s="77">
        <v>10811</v>
      </c>
      <c r="F240" s="113"/>
      <c r="G240" s="113"/>
      <c r="H240" s="113"/>
      <c r="I240" s="77">
        <f t="shared" si="15"/>
        <v>10811</v>
      </c>
      <c r="J240" s="167"/>
      <c r="K240" s="212">
        <f t="shared" si="16"/>
        <v>10811</v>
      </c>
      <c r="L240" s="78"/>
    </row>
    <row r="241" spans="1:12" s="67" customFormat="1" ht="29.25" customHeight="1">
      <c r="A241" s="74" t="s">
        <v>418</v>
      </c>
      <c r="B241" s="75" t="s">
        <v>419</v>
      </c>
      <c r="C241" s="76"/>
      <c r="D241" s="76"/>
      <c r="E241" s="76">
        <f>SUM(E242:E250)</f>
        <v>550</v>
      </c>
      <c r="F241" s="76">
        <f>SUM(F242:F250)</f>
        <v>0</v>
      </c>
      <c r="G241" s="112"/>
      <c r="H241" s="112"/>
      <c r="I241" s="76">
        <f t="shared" si="15"/>
        <v>550</v>
      </c>
      <c r="J241" s="182"/>
      <c r="K241" s="212">
        <f t="shared" si="16"/>
        <v>550</v>
      </c>
      <c r="L241" s="78"/>
    </row>
    <row r="242" spans="1:12" ht="15" customHeight="1">
      <c r="A242" s="73"/>
      <c r="B242" s="82" t="s">
        <v>20</v>
      </c>
      <c r="C242" s="77"/>
      <c r="D242" s="77"/>
      <c r="E242" s="77">
        <v>150</v>
      </c>
      <c r="F242" s="113"/>
      <c r="G242" s="113"/>
      <c r="H242" s="113"/>
      <c r="I242" s="77">
        <f t="shared" si="15"/>
        <v>150</v>
      </c>
      <c r="J242" s="167"/>
      <c r="K242" s="212">
        <f t="shared" si="16"/>
        <v>150</v>
      </c>
      <c r="L242" s="78"/>
    </row>
    <row r="243" spans="1:12" ht="15" customHeight="1">
      <c r="A243" s="73"/>
      <c r="B243" s="82" t="s">
        <v>420</v>
      </c>
      <c r="C243" s="77"/>
      <c r="D243" s="77"/>
      <c r="E243" s="77">
        <v>50</v>
      </c>
      <c r="F243" s="113"/>
      <c r="G243" s="113"/>
      <c r="H243" s="113"/>
      <c r="I243" s="77">
        <f t="shared" si="15"/>
        <v>50</v>
      </c>
      <c r="J243" s="167"/>
      <c r="K243" s="212">
        <f t="shared" si="16"/>
        <v>50</v>
      </c>
      <c r="L243" s="78"/>
    </row>
    <row r="244" spans="1:12" ht="15" customHeight="1">
      <c r="A244" s="73"/>
      <c r="B244" s="82" t="s">
        <v>96</v>
      </c>
      <c r="C244" s="77"/>
      <c r="D244" s="77"/>
      <c r="E244" s="77">
        <v>50</v>
      </c>
      <c r="F244" s="113"/>
      <c r="G244" s="113"/>
      <c r="H244" s="113"/>
      <c r="I244" s="77">
        <f t="shared" si="15"/>
        <v>50</v>
      </c>
      <c r="J244" s="167"/>
      <c r="K244" s="212">
        <f t="shared" si="16"/>
        <v>50</v>
      </c>
      <c r="L244" s="78"/>
    </row>
    <row r="245" spans="1:12" ht="15" customHeight="1">
      <c r="A245" s="73"/>
      <c r="B245" s="72" t="s">
        <v>421</v>
      </c>
      <c r="C245" s="77"/>
      <c r="D245" s="77"/>
      <c r="E245" s="77">
        <v>50</v>
      </c>
      <c r="F245" s="113"/>
      <c r="G245" s="113"/>
      <c r="H245" s="113"/>
      <c r="I245" s="77">
        <f t="shared" si="15"/>
        <v>50</v>
      </c>
      <c r="J245" s="167"/>
      <c r="K245" s="212">
        <f t="shared" si="16"/>
        <v>50</v>
      </c>
      <c r="L245" s="78"/>
    </row>
    <row r="246" spans="1:12" ht="15" customHeight="1">
      <c r="A246" s="73"/>
      <c r="B246" s="82" t="s">
        <v>377</v>
      </c>
      <c r="C246" s="77"/>
      <c r="D246" s="77"/>
      <c r="E246" s="77">
        <v>50</v>
      </c>
      <c r="F246" s="113"/>
      <c r="G246" s="113"/>
      <c r="H246" s="113"/>
      <c r="I246" s="77">
        <f t="shared" si="15"/>
        <v>50</v>
      </c>
      <c r="J246" s="167"/>
      <c r="K246" s="212">
        <f t="shared" si="16"/>
        <v>50</v>
      </c>
      <c r="L246" s="78"/>
    </row>
    <row r="247" spans="1:12" ht="15" customHeight="1">
      <c r="A247" s="73"/>
      <c r="B247" s="82" t="s">
        <v>422</v>
      </c>
      <c r="C247" s="77"/>
      <c r="D247" s="77"/>
      <c r="E247" s="77">
        <v>50</v>
      </c>
      <c r="F247" s="113"/>
      <c r="G247" s="113"/>
      <c r="H247" s="113"/>
      <c r="I247" s="77">
        <f t="shared" si="15"/>
        <v>50</v>
      </c>
      <c r="J247" s="167"/>
      <c r="K247" s="212">
        <f t="shared" si="16"/>
        <v>50</v>
      </c>
      <c r="L247" s="78"/>
    </row>
    <row r="248" spans="1:12" ht="15" customHeight="1">
      <c r="A248" s="73"/>
      <c r="B248" s="82" t="s">
        <v>78</v>
      </c>
      <c r="C248" s="77"/>
      <c r="D248" s="77"/>
      <c r="E248" s="77">
        <v>50</v>
      </c>
      <c r="F248" s="113"/>
      <c r="G248" s="113"/>
      <c r="H248" s="113"/>
      <c r="I248" s="77">
        <f t="shared" si="15"/>
        <v>50</v>
      </c>
      <c r="J248" s="167"/>
      <c r="K248" s="212">
        <f t="shared" si="16"/>
        <v>50</v>
      </c>
      <c r="L248" s="78"/>
    </row>
    <row r="249" spans="1:12" ht="15" customHeight="1">
      <c r="A249" s="73"/>
      <c r="B249" s="82" t="s">
        <v>423</v>
      </c>
      <c r="C249" s="77"/>
      <c r="D249" s="77"/>
      <c r="E249" s="77">
        <v>50</v>
      </c>
      <c r="F249" s="113"/>
      <c r="G249" s="113"/>
      <c r="H249" s="113"/>
      <c r="I249" s="77">
        <f t="shared" si="15"/>
        <v>50</v>
      </c>
      <c r="J249" s="167"/>
      <c r="K249" s="212">
        <f t="shared" si="16"/>
        <v>50</v>
      </c>
      <c r="L249" s="78"/>
    </row>
    <row r="250" spans="1:12" ht="15" customHeight="1">
      <c r="A250" s="73"/>
      <c r="B250" s="82" t="s">
        <v>424</v>
      </c>
      <c r="C250" s="77"/>
      <c r="D250" s="77"/>
      <c r="E250" s="77">
        <v>50</v>
      </c>
      <c r="F250" s="113"/>
      <c r="G250" s="113"/>
      <c r="H250" s="113"/>
      <c r="I250" s="77">
        <f t="shared" si="15"/>
        <v>50</v>
      </c>
      <c r="J250" s="167"/>
      <c r="K250" s="212">
        <f t="shared" si="16"/>
        <v>50</v>
      </c>
      <c r="L250" s="78"/>
    </row>
    <row r="251" spans="1:12" ht="15" customHeight="1">
      <c r="A251" s="74" t="s">
        <v>425</v>
      </c>
      <c r="B251" s="74" t="s">
        <v>426</v>
      </c>
      <c r="C251" s="76"/>
      <c r="D251" s="76"/>
      <c r="E251" s="76">
        <f>SUM(E252:E272)</f>
        <v>88859</v>
      </c>
      <c r="F251" s="76">
        <f>SUM(F252:F272)</f>
        <v>0</v>
      </c>
      <c r="G251" s="112"/>
      <c r="H251" s="112"/>
      <c r="I251" s="76">
        <f t="shared" si="15"/>
        <v>88859</v>
      </c>
      <c r="J251" s="167"/>
      <c r="K251" s="212">
        <f t="shared" si="16"/>
        <v>88859</v>
      </c>
      <c r="L251" s="78"/>
    </row>
    <row r="252" spans="1:12" ht="15" customHeight="1">
      <c r="A252" s="73"/>
      <c r="B252" s="83" t="s">
        <v>586</v>
      </c>
      <c r="C252" s="77"/>
      <c r="D252" s="77"/>
      <c r="E252" s="77">
        <v>45454</v>
      </c>
      <c r="F252" s="113"/>
      <c r="G252" s="113"/>
      <c r="H252" s="113"/>
      <c r="I252" s="77">
        <f t="shared" si="15"/>
        <v>45454</v>
      </c>
      <c r="J252" s="167"/>
      <c r="K252" s="212">
        <f t="shared" si="16"/>
        <v>45454</v>
      </c>
      <c r="L252" s="78"/>
    </row>
    <row r="253" spans="1:12" ht="15" customHeight="1">
      <c r="A253" s="73"/>
      <c r="B253" s="83" t="s">
        <v>587</v>
      </c>
      <c r="C253" s="77"/>
      <c r="D253" s="77"/>
      <c r="E253" s="77">
        <v>2390</v>
      </c>
      <c r="F253" s="113"/>
      <c r="G253" s="113"/>
      <c r="H253" s="113"/>
      <c r="I253" s="77">
        <f t="shared" si="15"/>
        <v>2390</v>
      </c>
      <c r="J253" s="167"/>
      <c r="K253" s="212">
        <f t="shared" si="16"/>
        <v>2390</v>
      </c>
      <c r="L253" s="78"/>
    </row>
    <row r="254" spans="1:12" ht="15" customHeight="1">
      <c r="A254" s="73"/>
      <c r="B254" s="83" t="s">
        <v>427</v>
      </c>
      <c r="C254" s="77"/>
      <c r="D254" s="77"/>
      <c r="E254" s="77">
        <v>4350</v>
      </c>
      <c r="F254" s="113"/>
      <c r="G254" s="113"/>
      <c r="H254" s="113"/>
      <c r="I254" s="77">
        <f t="shared" si="15"/>
        <v>4350</v>
      </c>
      <c r="J254" s="167"/>
      <c r="K254" s="212">
        <f t="shared" si="16"/>
        <v>4350</v>
      </c>
      <c r="L254" s="78"/>
    </row>
    <row r="255" spans="1:12" ht="15" customHeight="1">
      <c r="A255" s="73"/>
      <c r="B255" s="83" t="s">
        <v>226</v>
      </c>
      <c r="C255" s="77"/>
      <c r="D255" s="77"/>
      <c r="E255" s="77">
        <v>650</v>
      </c>
      <c r="F255" s="113"/>
      <c r="G255" s="113"/>
      <c r="H255" s="113"/>
      <c r="I255" s="77">
        <f t="shared" si="15"/>
        <v>650</v>
      </c>
      <c r="J255" s="167"/>
      <c r="K255" s="212">
        <f t="shared" si="16"/>
        <v>650</v>
      </c>
      <c r="L255" s="78"/>
    </row>
    <row r="256" spans="1:12" ht="15" customHeight="1">
      <c r="A256" s="73"/>
      <c r="B256" s="83" t="s">
        <v>24</v>
      </c>
      <c r="C256" s="77"/>
      <c r="D256" s="77"/>
      <c r="E256" s="77">
        <v>460</v>
      </c>
      <c r="F256" s="113"/>
      <c r="G256" s="113"/>
      <c r="H256" s="113"/>
      <c r="I256" s="77">
        <f t="shared" si="15"/>
        <v>460</v>
      </c>
      <c r="J256" s="167"/>
      <c r="K256" s="212">
        <f t="shared" si="16"/>
        <v>460</v>
      </c>
      <c r="L256" s="78"/>
    </row>
    <row r="257" spans="1:12" ht="15" customHeight="1">
      <c r="A257" s="73"/>
      <c r="B257" s="83" t="s">
        <v>428</v>
      </c>
      <c r="C257" s="77"/>
      <c r="D257" s="77"/>
      <c r="E257" s="77">
        <v>3715</v>
      </c>
      <c r="F257" s="113"/>
      <c r="G257" s="113"/>
      <c r="H257" s="113"/>
      <c r="I257" s="77">
        <f t="shared" si="15"/>
        <v>3715</v>
      </c>
      <c r="J257" s="167"/>
      <c r="K257" s="212">
        <f t="shared" si="16"/>
        <v>3715</v>
      </c>
      <c r="L257" s="78"/>
    </row>
    <row r="258" spans="1:12" ht="15" customHeight="1">
      <c r="A258" s="73"/>
      <c r="B258" s="83" t="s">
        <v>373</v>
      </c>
      <c r="C258" s="77"/>
      <c r="D258" s="77"/>
      <c r="E258" s="77">
        <v>3150</v>
      </c>
      <c r="F258" s="113"/>
      <c r="G258" s="113"/>
      <c r="H258" s="113"/>
      <c r="I258" s="77">
        <f t="shared" si="15"/>
        <v>3150</v>
      </c>
      <c r="J258" s="167"/>
      <c r="K258" s="212">
        <f t="shared" si="16"/>
        <v>3150</v>
      </c>
      <c r="L258" s="78"/>
    </row>
    <row r="259" spans="1:12" ht="15" customHeight="1">
      <c r="A259" s="73"/>
      <c r="B259" s="83" t="s">
        <v>102</v>
      </c>
      <c r="C259" s="77"/>
      <c r="D259" s="77"/>
      <c r="E259" s="77">
        <v>3900</v>
      </c>
      <c r="F259" s="113"/>
      <c r="G259" s="113"/>
      <c r="H259" s="113"/>
      <c r="I259" s="77">
        <f t="shared" si="15"/>
        <v>3900</v>
      </c>
      <c r="J259" s="167"/>
      <c r="K259" s="212">
        <f t="shared" si="16"/>
        <v>3900</v>
      </c>
      <c r="L259" s="78"/>
    </row>
    <row r="260" spans="1:12" ht="15" customHeight="1">
      <c r="A260" s="73"/>
      <c r="B260" s="83" t="s">
        <v>143</v>
      </c>
      <c r="C260" s="77"/>
      <c r="D260" s="77"/>
      <c r="E260" s="77">
        <v>430</v>
      </c>
      <c r="F260" s="113"/>
      <c r="G260" s="113"/>
      <c r="H260" s="113"/>
      <c r="I260" s="77">
        <f t="shared" si="15"/>
        <v>430</v>
      </c>
      <c r="J260" s="167"/>
      <c r="K260" s="212">
        <f t="shared" si="16"/>
        <v>430</v>
      </c>
      <c r="L260" s="78"/>
    </row>
    <row r="261" spans="1:12" ht="15" customHeight="1">
      <c r="A261" s="73"/>
      <c r="B261" s="83" t="s">
        <v>575</v>
      </c>
      <c r="C261" s="77"/>
      <c r="D261" s="77"/>
      <c r="E261" s="77">
        <v>50</v>
      </c>
      <c r="F261" s="113"/>
      <c r="G261" s="113"/>
      <c r="H261" s="113"/>
      <c r="I261" s="77">
        <f t="shared" si="15"/>
        <v>50</v>
      </c>
      <c r="J261" s="167"/>
      <c r="K261" s="212">
        <f t="shared" si="16"/>
        <v>50</v>
      </c>
      <c r="L261" s="78"/>
    </row>
    <row r="262" spans="1:12" ht="15" customHeight="1">
      <c r="A262" s="73"/>
      <c r="B262" s="83" t="s">
        <v>429</v>
      </c>
      <c r="C262" s="77"/>
      <c r="D262" s="77"/>
      <c r="E262" s="77">
        <v>3280</v>
      </c>
      <c r="F262" s="113"/>
      <c r="G262" s="113"/>
      <c r="H262" s="113"/>
      <c r="I262" s="77">
        <f t="shared" si="15"/>
        <v>3280</v>
      </c>
      <c r="J262" s="167"/>
      <c r="K262" s="212">
        <f t="shared" si="16"/>
        <v>3280</v>
      </c>
      <c r="L262" s="78"/>
    </row>
    <row r="263" spans="1:12" s="67" customFormat="1" ht="24" customHeight="1">
      <c r="A263" s="73"/>
      <c r="B263" s="83" t="s">
        <v>153</v>
      </c>
      <c r="C263" s="77"/>
      <c r="D263" s="77"/>
      <c r="E263" s="77">
        <v>2500</v>
      </c>
      <c r="F263" s="113"/>
      <c r="G263" s="113"/>
      <c r="H263" s="113"/>
      <c r="I263" s="77">
        <f t="shared" si="15"/>
        <v>2500</v>
      </c>
      <c r="J263" s="182"/>
      <c r="K263" s="212">
        <f t="shared" si="16"/>
        <v>2500</v>
      </c>
      <c r="L263" s="78"/>
    </row>
    <row r="264" spans="1:12" s="67" customFormat="1" ht="15" customHeight="1">
      <c r="A264" s="73"/>
      <c r="B264" s="83" t="s">
        <v>374</v>
      </c>
      <c r="C264" s="77"/>
      <c r="D264" s="77"/>
      <c r="E264" s="77">
        <v>470</v>
      </c>
      <c r="F264" s="113"/>
      <c r="G264" s="113"/>
      <c r="H264" s="113"/>
      <c r="I264" s="77">
        <f t="shared" si="15"/>
        <v>470</v>
      </c>
      <c r="J264" s="182"/>
      <c r="K264" s="212">
        <f t="shared" si="16"/>
        <v>470</v>
      </c>
      <c r="L264" s="78"/>
    </row>
    <row r="265" spans="1:12" s="68" customFormat="1" ht="15" customHeight="1">
      <c r="A265" s="73"/>
      <c r="B265" s="83" t="s">
        <v>26</v>
      </c>
      <c r="C265" s="77"/>
      <c r="D265" s="77"/>
      <c r="E265" s="77">
        <v>665</v>
      </c>
      <c r="F265" s="113"/>
      <c r="G265" s="113"/>
      <c r="H265" s="113"/>
      <c r="I265" s="77">
        <f t="shared" si="17" ref="I265:I327">E265</f>
        <v>665</v>
      </c>
      <c r="J265" s="198"/>
      <c r="K265" s="212">
        <f t="shared" si="16"/>
        <v>665</v>
      </c>
      <c r="L265" s="78"/>
    </row>
    <row r="266" spans="1:12" ht="24.75" customHeight="1">
      <c r="A266" s="73"/>
      <c r="B266" s="83" t="s">
        <v>100</v>
      </c>
      <c r="C266" s="77"/>
      <c r="D266" s="77"/>
      <c r="E266" s="77">
        <v>9300</v>
      </c>
      <c r="F266" s="113"/>
      <c r="G266" s="113"/>
      <c r="H266" s="113"/>
      <c r="I266" s="77">
        <f t="shared" si="17"/>
        <v>9300</v>
      </c>
      <c r="J266" s="167"/>
      <c r="K266" s="212">
        <f t="shared" si="16"/>
        <v>9300</v>
      </c>
      <c r="L266" s="78"/>
    </row>
    <row r="267" spans="1:12" ht="15" customHeight="1">
      <c r="A267" s="73"/>
      <c r="B267" s="83" t="s">
        <v>99</v>
      </c>
      <c r="C267" s="77"/>
      <c r="D267" s="77"/>
      <c r="E267" s="77">
        <v>1885</v>
      </c>
      <c r="F267" s="113"/>
      <c r="G267" s="113"/>
      <c r="H267" s="113"/>
      <c r="I267" s="77">
        <f t="shared" si="17"/>
        <v>1885</v>
      </c>
      <c r="J267" s="167"/>
      <c r="K267" s="212">
        <f t="shared" si="16"/>
        <v>1885</v>
      </c>
      <c r="L267" s="78"/>
    </row>
    <row r="268" spans="1:12" ht="15" customHeight="1">
      <c r="A268" s="73"/>
      <c r="B268" s="83" t="s">
        <v>65</v>
      </c>
      <c r="C268" s="77"/>
      <c r="D268" s="77"/>
      <c r="E268" s="77">
        <v>1900</v>
      </c>
      <c r="F268" s="113"/>
      <c r="G268" s="113"/>
      <c r="H268" s="113"/>
      <c r="I268" s="77">
        <f t="shared" si="17"/>
        <v>1900</v>
      </c>
      <c r="J268" s="167"/>
      <c r="K268" s="212">
        <f t="shared" si="16"/>
        <v>1900</v>
      </c>
      <c r="L268" s="78"/>
    </row>
    <row r="269" spans="1:12" ht="15" customHeight="1">
      <c r="A269" s="73"/>
      <c r="B269" s="83" t="s">
        <v>97</v>
      </c>
      <c r="C269" s="77"/>
      <c r="D269" s="77"/>
      <c r="E269" s="77">
        <v>400</v>
      </c>
      <c r="F269" s="113"/>
      <c r="G269" s="113"/>
      <c r="H269" s="113"/>
      <c r="I269" s="77">
        <f t="shared" si="17"/>
        <v>400</v>
      </c>
      <c r="J269" s="167"/>
      <c r="K269" s="212">
        <f t="shared" si="16"/>
        <v>400</v>
      </c>
      <c r="L269" s="78"/>
    </row>
    <row r="270" spans="1:12" ht="15" customHeight="1">
      <c r="A270" s="73"/>
      <c r="B270" s="83" t="s">
        <v>83</v>
      </c>
      <c r="C270" s="77"/>
      <c r="D270" s="77"/>
      <c r="E270" s="77">
        <v>370</v>
      </c>
      <c r="F270" s="113"/>
      <c r="G270" s="113"/>
      <c r="H270" s="113"/>
      <c r="I270" s="77">
        <f t="shared" si="17"/>
        <v>370</v>
      </c>
      <c r="J270" s="167"/>
      <c r="K270" s="212">
        <f t="shared" si="16"/>
        <v>370</v>
      </c>
      <c r="L270" s="78"/>
    </row>
    <row r="271" spans="1:12" ht="19.5" customHeight="1">
      <c r="A271" s="73"/>
      <c r="B271" s="83" t="s">
        <v>103</v>
      </c>
      <c r="C271" s="77"/>
      <c r="D271" s="77"/>
      <c r="E271" s="77">
        <v>1540</v>
      </c>
      <c r="F271" s="113"/>
      <c r="G271" s="113"/>
      <c r="H271" s="113"/>
      <c r="I271" s="77">
        <f t="shared" si="17"/>
        <v>1540</v>
      </c>
      <c r="J271" s="167"/>
      <c r="K271" s="212">
        <f t="shared" si="16"/>
        <v>1540</v>
      </c>
      <c r="L271" s="78"/>
    </row>
    <row r="272" spans="1:12" ht="15" customHeight="1">
      <c r="A272" s="73"/>
      <c r="B272" s="83" t="s">
        <v>430</v>
      </c>
      <c r="C272" s="77"/>
      <c r="D272" s="77"/>
      <c r="E272" s="77">
        <v>2000</v>
      </c>
      <c r="F272" s="113"/>
      <c r="G272" s="113"/>
      <c r="H272" s="113"/>
      <c r="I272" s="77">
        <f t="shared" si="17"/>
        <v>2000</v>
      </c>
      <c r="J272" s="167"/>
      <c r="K272" s="212">
        <f t="shared" si="16"/>
        <v>2000</v>
      </c>
      <c r="L272" s="78"/>
    </row>
    <row r="273" spans="1:12" ht="33" customHeight="1">
      <c r="A273" s="74" t="s">
        <v>431</v>
      </c>
      <c r="B273" s="75" t="s">
        <v>432</v>
      </c>
      <c r="C273" s="76"/>
      <c r="D273" s="76"/>
      <c r="E273" s="76">
        <f>E276+E348+E274</f>
        <v>2350090</v>
      </c>
      <c r="F273" s="76">
        <f>F276+F348+F274</f>
        <v>0</v>
      </c>
      <c r="G273" s="76">
        <f>G276+G348</f>
        <v>0</v>
      </c>
      <c r="H273" s="76"/>
      <c r="I273" s="76">
        <f t="shared" si="17"/>
        <v>2350090</v>
      </c>
      <c r="J273" s="212">
        <f>F273</f>
        <v>0</v>
      </c>
      <c r="K273" s="94">
        <f t="shared" si="16"/>
        <v>2350090</v>
      </c>
      <c r="L273" s="78"/>
    </row>
    <row r="274" spans="1:12" ht="33" customHeight="1">
      <c r="A274" s="74" t="s">
        <v>632</v>
      </c>
      <c r="B274" s="75" t="s">
        <v>633</v>
      </c>
      <c r="C274" s="76"/>
      <c r="D274" s="76"/>
      <c r="E274" s="76">
        <f>E275</f>
        <v>16294</v>
      </c>
      <c r="F274" s="76">
        <f>F275</f>
        <v>0</v>
      </c>
      <c r="G274" s="76"/>
      <c r="H274" s="76"/>
      <c r="I274" s="76">
        <f>E274</f>
        <v>16294</v>
      </c>
      <c r="J274" s="196">
        <f>F274</f>
        <v>0</v>
      </c>
      <c r="K274" s="212">
        <f t="shared" si="16"/>
        <v>16294</v>
      </c>
      <c r="L274" s="78"/>
    </row>
    <row r="275" spans="1:12" ht="33" customHeight="1">
      <c r="A275" s="74"/>
      <c r="B275" s="72" t="s">
        <v>434</v>
      </c>
      <c r="C275" s="76"/>
      <c r="D275" s="76"/>
      <c r="E275" s="77">
        <f>16294</f>
        <v>16294</v>
      </c>
      <c r="F275" s="77"/>
      <c r="G275" s="76"/>
      <c r="H275" s="76"/>
      <c r="I275" s="76">
        <f t="shared" si="17"/>
        <v>16294</v>
      </c>
      <c r="J275" s="195">
        <f>F275</f>
        <v>0</v>
      </c>
      <c r="K275" s="94">
        <f t="shared" si="16"/>
        <v>16294</v>
      </c>
      <c r="L275" s="78"/>
    </row>
    <row r="276" spans="1:12" ht="30" customHeight="1">
      <c r="A276" s="74" t="s">
        <v>435</v>
      </c>
      <c r="B276" s="75" t="s">
        <v>436</v>
      </c>
      <c r="C276" s="76"/>
      <c r="D276" s="76"/>
      <c r="E276" s="76">
        <f>SUM(E277:E347)</f>
        <v>1473802</v>
      </c>
      <c r="F276" s="76">
        <f>SUM(F277:F347)</f>
        <v>0</v>
      </c>
      <c r="G276" s="76">
        <f>SUM(G277:G347)</f>
        <v>0</v>
      </c>
      <c r="H276" s="76"/>
      <c r="I276" s="76">
        <f>E276</f>
        <v>1473802</v>
      </c>
      <c r="J276" s="76">
        <f>F276</f>
        <v>0</v>
      </c>
      <c r="K276" s="212">
        <f t="shared" si="16"/>
        <v>1473802</v>
      </c>
      <c r="L276" s="78"/>
    </row>
    <row r="277" spans="1:12" ht="20.25" customHeight="1">
      <c r="A277" s="73"/>
      <c r="B277" s="72" t="s">
        <v>433</v>
      </c>
      <c r="C277" s="77"/>
      <c r="D277" s="77"/>
      <c r="E277" s="77">
        <v>7240</v>
      </c>
      <c r="F277" s="113"/>
      <c r="G277" s="113"/>
      <c r="H277" s="113"/>
      <c r="I277" s="77">
        <f t="shared" si="17"/>
        <v>7240</v>
      </c>
      <c r="J277" s="167"/>
      <c r="K277" s="212">
        <f t="shared" si="16"/>
        <v>7240</v>
      </c>
      <c r="L277" s="78"/>
    </row>
    <row r="278" spans="1:12" ht="15" customHeight="1">
      <c r="A278" s="73"/>
      <c r="B278" s="82" t="s">
        <v>406</v>
      </c>
      <c r="C278" s="77"/>
      <c r="D278" s="77"/>
      <c r="E278" s="77">
        <v>4200</v>
      </c>
      <c r="F278" s="113"/>
      <c r="G278" s="113"/>
      <c r="H278" s="113"/>
      <c r="I278" s="77">
        <f t="shared" si="17"/>
        <v>4200</v>
      </c>
      <c r="J278" s="167"/>
      <c r="K278" s="212">
        <f t="shared" si="16"/>
        <v>4200</v>
      </c>
      <c r="L278" s="78"/>
    </row>
    <row r="279" spans="1:12" ht="15" customHeight="1">
      <c r="A279" s="73"/>
      <c r="B279" s="82" t="s">
        <v>589</v>
      </c>
      <c r="C279" s="77"/>
      <c r="D279" s="77"/>
      <c r="E279" s="77">
        <f>242485+337442+264824</f>
        <v>844751</v>
      </c>
      <c r="F279" s="113"/>
      <c r="G279" s="113"/>
      <c r="H279" s="113"/>
      <c r="I279" s="77">
        <f t="shared" si="17"/>
        <v>844751</v>
      </c>
      <c r="J279" s="195">
        <f>F279</f>
        <v>0</v>
      </c>
      <c r="K279" s="94">
        <f t="shared" si="16"/>
        <v>844751</v>
      </c>
      <c r="L279" s="78"/>
    </row>
    <row r="280" spans="1:12" ht="15" customHeight="1">
      <c r="A280" s="73"/>
      <c r="B280" s="82" t="s">
        <v>586</v>
      </c>
      <c r="C280" s="77"/>
      <c r="D280" s="77"/>
      <c r="E280" s="77">
        <v>1265</v>
      </c>
      <c r="F280" s="113"/>
      <c r="G280" s="113"/>
      <c r="H280" s="113"/>
      <c r="I280" s="77">
        <f t="shared" si="17"/>
        <v>1265</v>
      </c>
      <c r="J280" s="167"/>
      <c r="K280" s="212">
        <f t="shared" si="16"/>
        <v>1265</v>
      </c>
      <c r="L280" s="78"/>
    </row>
    <row r="281" spans="1:12" ht="15" customHeight="1">
      <c r="A281" s="73"/>
      <c r="B281" s="82" t="s">
        <v>588</v>
      </c>
      <c r="C281" s="77"/>
      <c r="D281" s="77"/>
      <c r="E281" s="77">
        <v>5000</v>
      </c>
      <c r="F281" s="113"/>
      <c r="G281" s="113"/>
      <c r="H281" s="113"/>
      <c r="I281" s="77">
        <f t="shared" si="17"/>
        <v>5000</v>
      </c>
      <c r="J281" s="167"/>
      <c r="K281" s="212">
        <f t="shared" si="16"/>
        <v>5000</v>
      </c>
      <c r="L281" s="78"/>
    </row>
    <row r="282" spans="1:12" ht="15" customHeight="1">
      <c r="A282" s="73"/>
      <c r="B282" s="82" t="s">
        <v>629</v>
      </c>
      <c r="C282" s="77"/>
      <c r="D282" s="77"/>
      <c r="E282" s="77">
        <v>13500</v>
      </c>
      <c r="F282" s="113"/>
      <c r="G282" s="113"/>
      <c r="H282" s="113"/>
      <c r="I282" s="77">
        <f t="shared" si="17"/>
        <v>13500</v>
      </c>
      <c r="J282" s="167"/>
      <c r="K282" s="212">
        <f t="shared" si="16"/>
        <v>13500</v>
      </c>
      <c r="L282" s="78"/>
    </row>
    <row r="283" spans="1:12" ht="15" customHeight="1">
      <c r="A283" s="73"/>
      <c r="B283" s="82" t="s">
        <v>32</v>
      </c>
      <c r="C283" s="77"/>
      <c r="D283" s="77"/>
      <c r="E283" s="77">
        <v>3000</v>
      </c>
      <c r="F283" s="113"/>
      <c r="G283" s="113"/>
      <c r="H283" s="113"/>
      <c r="I283" s="77">
        <f t="shared" si="17"/>
        <v>3000</v>
      </c>
      <c r="J283" s="167"/>
      <c r="K283" s="212">
        <f t="shared" si="16"/>
        <v>3000</v>
      </c>
      <c r="L283" s="78"/>
    </row>
    <row r="284" spans="1:12" ht="15" customHeight="1">
      <c r="A284" s="73"/>
      <c r="B284" s="82" t="s">
        <v>567</v>
      </c>
      <c r="C284" s="77"/>
      <c r="D284" s="77"/>
      <c r="E284" s="77">
        <v>180</v>
      </c>
      <c r="F284" s="113"/>
      <c r="G284" s="113"/>
      <c r="H284" s="113"/>
      <c r="I284" s="77">
        <f t="shared" si="17"/>
        <v>180</v>
      </c>
      <c r="J284" s="167"/>
      <c r="K284" s="212">
        <f t="shared" si="16"/>
        <v>180</v>
      </c>
      <c r="L284" s="78"/>
    </row>
    <row r="285" spans="1:12" ht="30" customHeight="1">
      <c r="A285" s="73"/>
      <c r="B285" s="82" t="s">
        <v>43</v>
      </c>
      <c r="C285" s="77"/>
      <c r="D285" s="77"/>
      <c r="E285" s="77">
        <v>950</v>
      </c>
      <c r="F285" s="113"/>
      <c r="G285" s="113"/>
      <c r="H285" s="113"/>
      <c r="I285" s="77">
        <f t="shared" si="17"/>
        <v>950</v>
      </c>
      <c r="J285" s="167"/>
      <c r="K285" s="212">
        <f t="shared" si="16"/>
        <v>950</v>
      </c>
      <c r="L285" s="78"/>
    </row>
    <row r="286" spans="1:12" ht="26.25" customHeight="1">
      <c r="A286" s="73"/>
      <c r="B286" s="82" t="s">
        <v>591</v>
      </c>
      <c r="C286" s="77"/>
      <c r="D286" s="77"/>
      <c r="E286" s="77">
        <v>9975</v>
      </c>
      <c r="F286" s="113"/>
      <c r="G286" s="113"/>
      <c r="H286" s="113"/>
      <c r="I286" s="77">
        <f t="shared" si="17"/>
        <v>9975</v>
      </c>
      <c r="J286" s="167"/>
      <c r="K286" s="212">
        <f t="shared" si="16"/>
        <v>9975</v>
      </c>
      <c r="L286" s="78"/>
    </row>
    <row r="287" spans="1:12" ht="15" customHeight="1">
      <c r="A287" s="73"/>
      <c r="B287" s="82" t="s">
        <v>590</v>
      </c>
      <c r="C287" s="77"/>
      <c r="D287" s="77"/>
      <c r="E287" s="77">
        <v>8137</v>
      </c>
      <c r="F287" s="113"/>
      <c r="G287" s="113"/>
      <c r="H287" s="113"/>
      <c r="I287" s="77">
        <f t="shared" si="17"/>
        <v>8137</v>
      </c>
      <c r="J287" s="167"/>
      <c r="K287" s="212">
        <f t="shared" si="16"/>
        <v>8137</v>
      </c>
      <c r="L287" s="78"/>
    </row>
    <row r="288" spans="1:12" ht="15" customHeight="1">
      <c r="A288" s="73"/>
      <c r="B288" s="82" t="s">
        <v>577</v>
      </c>
      <c r="C288" s="77"/>
      <c r="D288" s="77"/>
      <c r="E288" s="77">
        <v>10000</v>
      </c>
      <c r="F288" s="113"/>
      <c r="G288" s="113"/>
      <c r="H288" s="113"/>
      <c r="I288" s="77">
        <f t="shared" si="17"/>
        <v>10000</v>
      </c>
      <c r="J288" s="167"/>
      <c r="K288" s="212">
        <f t="shared" si="18" ref="K288:K351">I288+J288</f>
        <v>10000</v>
      </c>
      <c r="L288" s="78"/>
    </row>
    <row r="289" spans="1:12" ht="20.25" customHeight="1">
      <c r="A289" s="73"/>
      <c r="B289" s="83" t="s">
        <v>99</v>
      </c>
      <c r="C289" s="77"/>
      <c r="D289" s="77"/>
      <c r="E289" s="70">
        <v>90</v>
      </c>
      <c r="F289" s="115"/>
      <c r="G289" s="113"/>
      <c r="H289" s="113"/>
      <c r="I289" s="77">
        <f t="shared" si="17"/>
        <v>90</v>
      </c>
      <c r="J289" s="167"/>
      <c r="K289" s="212">
        <f t="shared" si="18"/>
        <v>90</v>
      </c>
      <c r="L289" s="78"/>
    </row>
    <row r="290" spans="1:12" ht="36" customHeight="1">
      <c r="A290" s="73"/>
      <c r="B290" s="82" t="s">
        <v>228</v>
      </c>
      <c r="C290" s="77"/>
      <c r="D290" s="77"/>
      <c r="E290" s="70">
        <v>400</v>
      </c>
      <c r="F290" s="115"/>
      <c r="G290" s="113"/>
      <c r="H290" s="113"/>
      <c r="I290" s="77">
        <f t="shared" si="17"/>
        <v>400</v>
      </c>
      <c r="J290" s="167"/>
      <c r="K290" s="212">
        <f t="shared" si="18"/>
        <v>400</v>
      </c>
      <c r="L290" s="78"/>
    </row>
    <row r="291" spans="1:12" ht="32.25" customHeight="1">
      <c r="A291" s="73"/>
      <c r="B291" s="82" t="s">
        <v>592</v>
      </c>
      <c r="C291" s="77"/>
      <c r="D291" s="77"/>
      <c r="E291" s="70">
        <v>2280</v>
      </c>
      <c r="F291" s="115"/>
      <c r="G291" s="113"/>
      <c r="H291" s="113"/>
      <c r="I291" s="77">
        <f t="shared" si="17"/>
        <v>2280</v>
      </c>
      <c r="J291" s="167"/>
      <c r="K291" s="212">
        <f t="shared" si="18"/>
        <v>2280</v>
      </c>
      <c r="L291" s="78"/>
    </row>
    <row r="292" spans="1:12" ht="32.25" customHeight="1">
      <c r="A292" s="73"/>
      <c r="B292" s="82" t="s">
        <v>11</v>
      </c>
      <c r="C292" s="77"/>
      <c r="D292" s="77"/>
      <c r="E292" s="70">
        <f>460+1200</f>
        <v>1660</v>
      </c>
      <c r="F292" s="115"/>
      <c r="G292" s="113"/>
      <c r="H292" s="113"/>
      <c r="I292" s="77">
        <f t="shared" si="17"/>
        <v>1660</v>
      </c>
      <c r="J292" s="167"/>
      <c r="K292" s="212">
        <f t="shared" si="18"/>
        <v>1660</v>
      </c>
      <c r="L292" s="78"/>
    </row>
    <row r="293" spans="1:12" ht="32.25" customHeight="1">
      <c r="A293" s="73"/>
      <c r="B293" s="82" t="s">
        <v>14</v>
      </c>
      <c r="C293" s="77"/>
      <c r="D293" s="77"/>
      <c r="E293" s="70">
        <v>1890</v>
      </c>
      <c r="F293" s="115"/>
      <c r="G293" s="113"/>
      <c r="H293" s="113"/>
      <c r="I293" s="77">
        <f t="shared" si="17"/>
        <v>1890</v>
      </c>
      <c r="J293" s="167"/>
      <c r="K293" s="212">
        <f t="shared" si="18"/>
        <v>1890</v>
      </c>
      <c r="L293" s="78"/>
    </row>
    <row r="294" spans="1:12" ht="30.75" customHeight="1">
      <c r="A294" s="73"/>
      <c r="B294" s="82" t="s">
        <v>593</v>
      </c>
      <c r="C294" s="77"/>
      <c r="D294" s="77"/>
      <c r="E294" s="77">
        <v>31400</v>
      </c>
      <c r="F294" s="113"/>
      <c r="G294" s="113"/>
      <c r="H294" s="113"/>
      <c r="I294" s="77">
        <f t="shared" si="17"/>
        <v>31400</v>
      </c>
      <c r="J294" s="167"/>
      <c r="K294" s="212">
        <f t="shared" si="18"/>
        <v>31400</v>
      </c>
      <c r="L294" s="78"/>
    </row>
    <row r="295" spans="1:12" ht="25.15" customHeight="1">
      <c r="A295" s="73"/>
      <c r="B295" s="82" t="s">
        <v>573</v>
      </c>
      <c r="C295" s="77"/>
      <c r="D295" s="77"/>
      <c r="E295" s="77">
        <v>200</v>
      </c>
      <c r="F295" s="113"/>
      <c r="G295" s="113"/>
      <c r="H295" s="113"/>
      <c r="I295" s="77">
        <f t="shared" si="17"/>
        <v>200</v>
      </c>
      <c r="J295" s="167"/>
      <c r="K295" s="212">
        <f t="shared" si="18"/>
        <v>200</v>
      </c>
      <c r="L295" s="78"/>
    </row>
    <row r="296" spans="1:12" ht="25.15" customHeight="1">
      <c r="A296" s="73"/>
      <c r="B296" s="82" t="s">
        <v>93</v>
      </c>
      <c r="C296" s="77"/>
      <c r="D296" s="77"/>
      <c r="E296" s="77">
        <v>5500</v>
      </c>
      <c r="F296" s="113"/>
      <c r="G296" s="113"/>
      <c r="H296" s="113"/>
      <c r="I296" s="77">
        <f t="shared" si="17"/>
        <v>5500</v>
      </c>
      <c r="J296" s="167"/>
      <c r="K296" s="212">
        <f t="shared" si="18"/>
        <v>5500</v>
      </c>
      <c r="L296" s="78"/>
    </row>
    <row r="297" spans="1:12" ht="29.25" customHeight="1">
      <c r="A297" s="73"/>
      <c r="B297" s="82" t="s">
        <v>594</v>
      </c>
      <c r="C297" s="77"/>
      <c r="D297" s="77"/>
      <c r="E297" s="77">
        <v>1167</v>
      </c>
      <c r="F297" s="113"/>
      <c r="G297" s="113"/>
      <c r="H297" s="113"/>
      <c r="I297" s="77">
        <f t="shared" si="17"/>
        <v>1167</v>
      </c>
      <c r="J297" s="167"/>
      <c r="K297" s="212">
        <f t="shared" si="18"/>
        <v>1167</v>
      </c>
      <c r="L297" s="78"/>
    </row>
    <row r="298" spans="1:12" ht="15.75" customHeight="1">
      <c r="A298" s="73"/>
      <c r="B298" s="82" t="s">
        <v>578</v>
      </c>
      <c r="C298" s="77"/>
      <c r="D298" s="77"/>
      <c r="E298" s="77">
        <v>5800</v>
      </c>
      <c r="F298" s="113"/>
      <c r="G298" s="113"/>
      <c r="H298" s="113"/>
      <c r="I298" s="77">
        <f t="shared" si="17"/>
        <v>5800</v>
      </c>
      <c r="J298" s="167"/>
      <c r="K298" s="212">
        <f t="shared" si="18"/>
        <v>5800</v>
      </c>
      <c r="L298" s="78"/>
    </row>
    <row r="299" spans="1:12" ht="15" customHeight="1">
      <c r="A299" s="73"/>
      <c r="B299" s="82" t="s">
        <v>595</v>
      </c>
      <c r="C299" s="77"/>
      <c r="D299" s="77"/>
      <c r="E299" s="77">
        <v>1550</v>
      </c>
      <c r="F299" s="113"/>
      <c r="G299" s="113"/>
      <c r="H299" s="113"/>
      <c r="I299" s="77">
        <f t="shared" si="17"/>
        <v>1550</v>
      </c>
      <c r="J299" s="167"/>
      <c r="K299" s="212">
        <f t="shared" si="18"/>
        <v>1550</v>
      </c>
      <c r="L299" s="78"/>
    </row>
    <row r="300" spans="1:12" ht="15" customHeight="1">
      <c r="A300" s="73"/>
      <c r="B300" s="82" t="s">
        <v>663</v>
      </c>
      <c r="C300" s="77"/>
      <c r="D300" s="77"/>
      <c r="E300" s="77">
        <f>720+3700+700</f>
        <v>5120</v>
      </c>
      <c r="F300" s="113"/>
      <c r="G300" s="113"/>
      <c r="H300" s="113"/>
      <c r="I300" s="77">
        <f t="shared" si="17"/>
        <v>5120</v>
      </c>
      <c r="J300" s="167"/>
      <c r="K300" s="212">
        <f t="shared" si="18"/>
        <v>5120</v>
      </c>
      <c r="L300" s="78"/>
    </row>
    <row r="301" spans="1:12" ht="15" customHeight="1">
      <c r="A301" s="73"/>
      <c r="B301" s="82" t="s">
        <v>437</v>
      </c>
      <c r="C301" s="77"/>
      <c r="D301" s="77"/>
      <c r="E301" s="77">
        <v>47308</v>
      </c>
      <c r="F301" s="113"/>
      <c r="G301" s="113" t="s">
        <v>438</v>
      </c>
      <c r="H301" s="113"/>
      <c r="I301" s="77">
        <f t="shared" si="17"/>
        <v>47308</v>
      </c>
      <c r="J301" s="167"/>
      <c r="K301" s="212">
        <f t="shared" si="18"/>
        <v>47308</v>
      </c>
      <c r="L301" s="78"/>
    </row>
    <row r="302" spans="1:12" ht="15" customHeight="1">
      <c r="A302" s="73"/>
      <c r="B302" s="82" t="s">
        <v>439</v>
      </c>
      <c r="C302" s="77"/>
      <c r="D302" s="77"/>
      <c r="E302" s="77">
        <v>20924</v>
      </c>
      <c r="F302" s="113"/>
      <c r="G302" s="113" t="s">
        <v>438</v>
      </c>
      <c r="H302" s="113"/>
      <c r="I302" s="77">
        <f t="shared" si="17"/>
        <v>20924</v>
      </c>
      <c r="J302" s="167"/>
      <c r="K302" s="212">
        <f t="shared" si="18"/>
        <v>20924</v>
      </c>
      <c r="L302" s="78"/>
    </row>
    <row r="303" spans="1:12" ht="15" customHeight="1">
      <c r="A303" s="73"/>
      <c r="B303" s="82" t="s">
        <v>440</v>
      </c>
      <c r="C303" s="77"/>
      <c r="D303" s="77"/>
      <c r="E303" s="77">
        <v>16000</v>
      </c>
      <c r="F303" s="113"/>
      <c r="G303" s="113"/>
      <c r="H303" s="113"/>
      <c r="I303" s="77">
        <f t="shared" si="17"/>
        <v>16000</v>
      </c>
      <c r="J303" s="167"/>
      <c r="K303" s="212">
        <f t="shared" si="18"/>
        <v>16000</v>
      </c>
      <c r="L303" s="78"/>
    </row>
    <row r="304" spans="1:12" ht="15" customHeight="1">
      <c r="A304" s="73"/>
      <c r="B304" s="82" t="s">
        <v>441</v>
      </c>
      <c r="C304" s="77"/>
      <c r="D304" s="77"/>
      <c r="E304" s="77">
        <f>79000+12040</f>
        <v>91040</v>
      </c>
      <c r="F304" s="113"/>
      <c r="G304" s="113"/>
      <c r="H304" s="113"/>
      <c r="I304" s="77">
        <f t="shared" si="17"/>
        <v>91040</v>
      </c>
      <c r="J304" s="167"/>
      <c r="K304" s="212">
        <f t="shared" si="18"/>
        <v>91040</v>
      </c>
      <c r="L304" s="78"/>
    </row>
    <row r="305" spans="1:12" ht="15" customHeight="1">
      <c r="A305" s="73"/>
      <c r="B305" s="82" t="s">
        <v>256</v>
      </c>
      <c r="C305" s="77"/>
      <c r="D305" s="77"/>
      <c r="E305" s="77">
        <v>13000</v>
      </c>
      <c r="F305" s="113"/>
      <c r="G305" s="113"/>
      <c r="H305" s="113"/>
      <c r="I305" s="77">
        <f t="shared" si="17"/>
        <v>13000</v>
      </c>
      <c r="J305" s="167"/>
      <c r="K305" s="212">
        <f t="shared" si="18"/>
        <v>13000</v>
      </c>
      <c r="L305" s="78"/>
    </row>
    <row r="306" spans="1:12" ht="15" customHeight="1">
      <c r="A306" s="73"/>
      <c r="B306" s="82" t="s">
        <v>181</v>
      </c>
      <c r="C306" s="77"/>
      <c r="D306" s="77"/>
      <c r="E306" s="77">
        <v>29102</v>
      </c>
      <c r="F306" s="113"/>
      <c r="G306" s="113"/>
      <c r="H306" s="113"/>
      <c r="I306" s="77">
        <f t="shared" si="17"/>
        <v>29102</v>
      </c>
      <c r="J306" s="167"/>
      <c r="K306" s="212">
        <f t="shared" si="18"/>
        <v>29102</v>
      </c>
      <c r="L306" s="78"/>
    </row>
    <row r="307" spans="1:12" ht="15" customHeight="1">
      <c r="A307" s="73"/>
      <c r="B307" s="82" t="s">
        <v>442</v>
      </c>
      <c r="C307" s="77"/>
      <c r="D307" s="77"/>
      <c r="E307" s="77">
        <v>66000</v>
      </c>
      <c r="F307" s="113"/>
      <c r="G307" s="113"/>
      <c r="H307" s="113"/>
      <c r="I307" s="77">
        <f t="shared" si="17"/>
        <v>66000</v>
      </c>
      <c r="J307" s="167"/>
      <c r="K307" s="212">
        <f t="shared" si="18"/>
        <v>66000</v>
      </c>
      <c r="L307" s="78"/>
    </row>
    <row r="308" spans="1:12" ht="15" customHeight="1">
      <c r="A308" s="73"/>
      <c r="B308" s="82" t="s">
        <v>142</v>
      </c>
      <c r="C308" s="77"/>
      <c r="D308" s="77"/>
      <c r="E308" s="77">
        <v>3100</v>
      </c>
      <c r="F308" s="113"/>
      <c r="G308" s="113"/>
      <c r="H308" s="113"/>
      <c r="I308" s="77">
        <f t="shared" si="17"/>
        <v>3100</v>
      </c>
      <c r="J308" s="167"/>
      <c r="K308" s="212">
        <f t="shared" si="18"/>
        <v>3100</v>
      </c>
      <c r="L308" s="78"/>
    </row>
    <row r="309" spans="1:12" ht="15" customHeight="1">
      <c r="A309" s="73"/>
      <c r="B309" s="82" t="s">
        <v>141</v>
      </c>
      <c r="C309" s="77"/>
      <c r="D309" s="77"/>
      <c r="E309" s="77">
        <v>9356</v>
      </c>
      <c r="F309" s="113"/>
      <c r="G309" s="113"/>
      <c r="H309" s="113"/>
      <c r="I309" s="77">
        <f t="shared" si="17"/>
        <v>9356</v>
      </c>
      <c r="J309" s="167"/>
      <c r="K309" s="212">
        <f t="shared" si="18"/>
        <v>9356</v>
      </c>
      <c r="L309" s="78"/>
    </row>
    <row r="310" spans="1:12" ht="15" customHeight="1">
      <c r="A310" s="73"/>
      <c r="B310" s="82" t="s">
        <v>665</v>
      </c>
      <c r="C310" s="77"/>
      <c r="D310" s="77"/>
      <c r="E310" s="70">
        <v>2500</v>
      </c>
      <c r="F310" s="115"/>
      <c r="G310" s="113"/>
      <c r="H310" s="113"/>
      <c r="I310" s="77">
        <f t="shared" si="17"/>
        <v>2500</v>
      </c>
      <c r="J310" s="167"/>
      <c r="K310" s="212">
        <f t="shared" si="18"/>
        <v>2500</v>
      </c>
      <c r="L310" s="78"/>
    </row>
    <row r="311" spans="1:12" ht="15" customHeight="1">
      <c r="A311" s="73"/>
      <c r="B311" s="82" t="s">
        <v>666</v>
      </c>
      <c r="C311" s="77"/>
      <c r="D311" s="77"/>
      <c r="E311" s="77">
        <v>4327</v>
      </c>
      <c r="F311" s="113"/>
      <c r="G311" s="113"/>
      <c r="H311" s="113"/>
      <c r="I311" s="77">
        <f t="shared" si="17"/>
        <v>4327</v>
      </c>
      <c r="J311" s="167"/>
      <c r="K311" s="212">
        <f t="shared" si="18"/>
        <v>4327</v>
      </c>
      <c r="L311" s="78"/>
    </row>
    <row r="312" spans="1:12" ht="15" customHeight="1">
      <c r="A312" s="73"/>
      <c r="B312" s="82" t="s">
        <v>667</v>
      </c>
      <c r="C312" s="77"/>
      <c r="D312" s="77"/>
      <c r="E312" s="77">
        <v>2005</v>
      </c>
      <c r="F312" s="113"/>
      <c r="G312" s="113"/>
      <c r="H312" s="113"/>
      <c r="I312" s="77">
        <f t="shared" si="17"/>
        <v>2005</v>
      </c>
      <c r="J312" s="167"/>
      <c r="K312" s="212">
        <f t="shared" si="18"/>
        <v>2005</v>
      </c>
      <c r="L312" s="78"/>
    </row>
    <row r="313" spans="1:12" ht="15" customHeight="1">
      <c r="A313" s="73"/>
      <c r="B313" s="82" t="s">
        <v>685</v>
      </c>
      <c r="C313" s="77"/>
      <c r="D313" s="77"/>
      <c r="E313" s="77">
        <v>4950</v>
      </c>
      <c r="F313" s="113"/>
      <c r="G313" s="113"/>
      <c r="H313" s="113"/>
      <c r="I313" s="77">
        <f t="shared" si="17"/>
        <v>4950</v>
      </c>
      <c r="J313" s="167"/>
      <c r="K313" s="212">
        <f t="shared" si="18"/>
        <v>4950</v>
      </c>
      <c r="L313" s="78"/>
    </row>
    <row r="314" spans="1:12" ht="15" customHeight="1">
      <c r="A314" s="73"/>
      <c r="B314" s="82" t="s">
        <v>669</v>
      </c>
      <c r="C314" s="77"/>
      <c r="D314" s="77"/>
      <c r="E314" s="77">
        <v>6500</v>
      </c>
      <c r="F314" s="113"/>
      <c r="G314" s="113"/>
      <c r="H314" s="113"/>
      <c r="I314" s="77">
        <f t="shared" si="17"/>
        <v>6500</v>
      </c>
      <c r="J314" s="167"/>
      <c r="K314" s="212">
        <f t="shared" si="18"/>
        <v>6500</v>
      </c>
      <c r="L314" s="78"/>
    </row>
    <row r="315" spans="1:12" ht="15" customHeight="1">
      <c r="A315" s="73"/>
      <c r="B315" s="82" t="s">
        <v>670</v>
      </c>
      <c r="C315" s="77"/>
      <c r="D315" s="77"/>
      <c r="E315" s="77">
        <v>7000</v>
      </c>
      <c r="F315" s="113"/>
      <c r="G315" s="113"/>
      <c r="H315" s="113"/>
      <c r="I315" s="77">
        <f t="shared" si="17"/>
        <v>7000</v>
      </c>
      <c r="J315" s="167"/>
      <c r="K315" s="212">
        <f t="shared" si="18"/>
        <v>7000</v>
      </c>
      <c r="L315" s="78"/>
    </row>
    <row r="316" spans="1:12" ht="15" customHeight="1">
      <c r="A316" s="73"/>
      <c r="B316" s="82" t="s">
        <v>686</v>
      </c>
      <c r="C316" s="77"/>
      <c r="D316" s="77"/>
      <c r="E316" s="77">
        <v>7650</v>
      </c>
      <c r="F316" s="113"/>
      <c r="G316" s="113"/>
      <c r="H316" s="113"/>
      <c r="I316" s="77">
        <f t="shared" si="17"/>
        <v>7650</v>
      </c>
      <c r="J316" s="167"/>
      <c r="K316" s="212">
        <f t="shared" si="18"/>
        <v>7650</v>
      </c>
      <c r="L316" s="78"/>
    </row>
    <row r="317" spans="1:12" ht="15" customHeight="1">
      <c r="A317" s="73"/>
      <c r="B317" s="82" t="s">
        <v>671</v>
      </c>
      <c r="C317" s="77"/>
      <c r="D317" s="77"/>
      <c r="E317" s="77">
        <v>2692</v>
      </c>
      <c r="F317" s="113"/>
      <c r="G317" s="113"/>
      <c r="H317" s="113"/>
      <c r="I317" s="77">
        <f t="shared" si="17"/>
        <v>2692</v>
      </c>
      <c r="J317" s="167"/>
      <c r="K317" s="212">
        <f t="shared" si="18"/>
        <v>2692</v>
      </c>
      <c r="L317" s="78"/>
    </row>
    <row r="318" spans="1:12" ht="15" customHeight="1">
      <c r="A318" s="73"/>
      <c r="B318" s="82" t="s">
        <v>672</v>
      </c>
      <c r="C318" s="77"/>
      <c r="D318" s="77"/>
      <c r="E318" s="77">
        <v>5500</v>
      </c>
      <c r="F318" s="113"/>
      <c r="G318" s="113"/>
      <c r="H318" s="113"/>
      <c r="I318" s="77">
        <f t="shared" si="17"/>
        <v>5500</v>
      </c>
      <c r="J318" s="167"/>
      <c r="K318" s="212">
        <f t="shared" si="18"/>
        <v>5500</v>
      </c>
      <c r="L318" s="78"/>
    </row>
    <row r="319" spans="1:12" ht="15.75" customHeight="1">
      <c r="A319" s="73"/>
      <c r="B319" s="82" t="s">
        <v>674</v>
      </c>
      <c r="C319" s="77"/>
      <c r="D319" s="77"/>
      <c r="E319" s="77">
        <v>3600</v>
      </c>
      <c r="F319" s="113"/>
      <c r="G319" s="113"/>
      <c r="H319" s="113"/>
      <c r="I319" s="77">
        <f t="shared" si="17"/>
        <v>3600</v>
      </c>
      <c r="J319" s="167"/>
      <c r="K319" s="212">
        <f t="shared" si="18"/>
        <v>3600</v>
      </c>
      <c r="L319" s="78"/>
    </row>
    <row r="320" spans="1:12" ht="19.5" customHeight="1">
      <c r="A320" s="73"/>
      <c r="B320" s="82" t="s">
        <v>673</v>
      </c>
      <c r="C320" s="77"/>
      <c r="D320" s="77"/>
      <c r="E320" s="77">
        <v>3800</v>
      </c>
      <c r="F320" s="113"/>
      <c r="G320" s="113"/>
      <c r="H320" s="113"/>
      <c r="I320" s="77">
        <f t="shared" si="17"/>
        <v>3800</v>
      </c>
      <c r="J320" s="167"/>
      <c r="K320" s="212">
        <f t="shared" si="18"/>
        <v>3800</v>
      </c>
      <c r="L320" s="78"/>
    </row>
    <row r="321" spans="1:12" ht="18" customHeight="1">
      <c r="A321" s="73"/>
      <c r="B321" s="82" t="s">
        <v>687</v>
      </c>
      <c r="C321" s="77"/>
      <c r="D321" s="77"/>
      <c r="E321" s="77">
        <v>9900</v>
      </c>
      <c r="F321" s="113"/>
      <c r="G321" s="113"/>
      <c r="H321" s="113"/>
      <c r="I321" s="77">
        <f t="shared" si="17"/>
        <v>9900</v>
      </c>
      <c r="J321" s="167"/>
      <c r="K321" s="212">
        <f t="shared" si="18"/>
        <v>9900</v>
      </c>
      <c r="L321" s="78"/>
    </row>
    <row r="322" spans="1:12" ht="30" customHeight="1">
      <c r="A322" s="73"/>
      <c r="B322" s="82" t="s">
        <v>675</v>
      </c>
      <c r="C322" s="77"/>
      <c r="D322" s="77"/>
      <c r="E322" s="77">
        <v>8500</v>
      </c>
      <c r="F322" s="113"/>
      <c r="G322" s="113"/>
      <c r="H322" s="113"/>
      <c r="I322" s="77">
        <f t="shared" si="17"/>
        <v>8500</v>
      </c>
      <c r="J322" s="167"/>
      <c r="K322" s="212">
        <f t="shared" si="18"/>
        <v>8500</v>
      </c>
      <c r="L322" s="78"/>
    </row>
    <row r="323" spans="1:12" ht="30" customHeight="1">
      <c r="A323" s="73"/>
      <c r="B323" s="82" t="s">
        <v>677</v>
      </c>
      <c r="C323" s="77"/>
      <c r="D323" s="77"/>
      <c r="E323" s="77">
        <v>3800</v>
      </c>
      <c r="F323" s="113"/>
      <c r="G323" s="113"/>
      <c r="H323" s="113"/>
      <c r="I323" s="77">
        <f t="shared" si="17"/>
        <v>3800</v>
      </c>
      <c r="J323" s="167"/>
      <c r="K323" s="212">
        <f t="shared" si="18"/>
        <v>3800</v>
      </c>
      <c r="L323" s="78"/>
    </row>
    <row r="324" spans="1:12" ht="30" customHeight="1">
      <c r="A324" s="73"/>
      <c r="B324" s="82" t="s">
        <v>688</v>
      </c>
      <c r="C324" s="77"/>
      <c r="D324" s="77"/>
      <c r="E324" s="77">
        <v>2500</v>
      </c>
      <c r="F324" s="113"/>
      <c r="G324" s="113"/>
      <c r="H324" s="113"/>
      <c r="I324" s="77">
        <f t="shared" si="17"/>
        <v>2500</v>
      </c>
      <c r="J324" s="167"/>
      <c r="K324" s="212">
        <f t="shared" si="18"/>
        <v>2500</v>
      </c>
      <c r="L324" s="78"/>
    </row>
    <row r="325" spans="1:12" ht="30" customHeight="1">
      <c r="A325" s="73"/>
      <c r="B325" s="82" t="s">
        <v>678</v>
      </c>
      <c r="C325" s="77"/>
      <c r="D325" s="77"/>
      <c r="E325" s="77">
        <v>3350</v>
      </c>
      <c r="F325" s="113"/>
      <c r="G325" s="113"/>
      <c r="H325" s="113"/>
      <c r="I325" s="77">
        <f t="shared" si="17"/>
        <v>3350</v>
      </c>
      <c r="J325" s="167"/>
      <c r="K325" s="212">
        <f t="shared" si="18"/>
        <v>3350</v>
      </c>
      <c r="L325" s="78"/>
    </row>
    <row r="326" spans="1:12" ht="30" customHeight="1">
      <c r="A326" s="73"/>
      <c r="B326" s="82" t="s">
        <v>679</v>
      </c>
      <c r="C326" s="77"/>
      <c r="D326" s="77"/>
      <c r="E326" s="77">
        <v>15100</v>
      </c>
      <c r="F326" s="113"/>
      <c r="G326" s="113"/>
      <c r="H326" s="113"/>
      <c r="I326" s="77">
        <f t="shared" si="17"/>
        <v>15100</v>
      </c>
      <c r="J326" s="167"/>
      <c r="K326" s="212">
        <f t="shared" si="18"/>
        <v>15100</v>
      </c>
      <c r="L326" s="78"/>
    </row>
    <row r="327" spans="1:12" ht="30" customHeight="1">
      <c r="A327" s="73"/>
      <c r="B327" s="82" t="s">
        <v>680</v>
      </c>
      <c r="C327" s="77"/>
      <c r="D327" s="77"/>
      <c r="E327" s="77">
        <v>3200</v>
      </c>
      <c r="F327" s="113"/>
      <c r="G327" s="113"/>
      <c r="H327" s="113"/>
      <c r="I327" s="77">
        <f t="shared" si="17"/>
        <v>3200</v>
      </c>
      <c r="J327" s="167"/>
      <c r="K327" s="212">
        <f t="shared" si="18"/>
        <v>3200</v>
      </c>
      <c r="L327" s="78"/>
    </row>
    <row r="328" spans="1:12" ht="30" customHeight="1">
      <c r="A328" s="73"/>
      <c r="B328" s="82" t="s">
        <v>689</v>
      </c>
      <c r="C328" s="77"/>
      <c r="D328" s="77"/>
      <c r="E328" s="77">
        <v>10000</v>
      </c>
      <c r="F328" s="113"/>
      <c r="G328" s="113"/>
      <c r="H328" s="113"/>
      <c r="I328" s="77">
        <f t="shared" si="19" ref="I328:I356">E328</f>
        <v>10000</v>
      </c>
      <c r="J328" s="167"/>
      <c r="K328" s="212">
        <f t="shared" si="18"/>
        <v>10000</v>
      </c>
      <c r="L328" s="78"/>
    </row>
    <row r="329" spans="1:12" ht="30" customHeight="1">
      <c r="A329" s="73"/>
      <c r="B329" s="82" t="s">
        <v>690</v>
      </c>
      <c r="C329" s="77"/>
      <c r="D329" s="77"/>
      <c r="E329" s="77">
        <v>7456</v>
      </c>
      <c r="F329" s="113"/>
      <c r="G329" s="113"/>
      <c r="H329" s="113"/>
      <c r="I329" s="77">
        <f t="shared" si="19"/>
        <v>7456</v>
      </c>
      <c r="J329" s="167"/>
      <c r="K329" s="212">
        <f t="shared" si="18"/>
        <v>7456</v>
      </c>
      <c r="L329" s="78"/>
    </row>
    <row r="330" spans="1:12" ht="30" customHeight="1">
      <c r="A330" s="73"/>
      <c r="B330" s="82" t="s">
        <v>691</v>
      </c>
      <c r="C330" s="77"/>
      <c r="D330" s="77"/>
      <c r="E330" s="70">
        <v>2845</v>
      </c>
      <c r="F330" s="115"/>
      <c r="G330" s="113"/>
      <c r="H330" s="113"/>
      <c r="I330" s="77">
        <f t="shared" si="19"/>
        <v>2845</v>
      </c>
      <c r="J330" s="167"/>
      <c r="K330" s="212">
        <f t="shared" si="18"/>
        <v>2845</v>
      </c>
      <c r="L330" s="78"/>
    </row>
    <row r="331" spans="1:12" ht="30" customHeight="1">
      <c r="A331" s="73"/>
      <c r="B331" s="82" t="s">
        <v>692</v>
      </c>
      <c r="C331" s="77"/>
      <c r="D331" s="77"/>
      <c r="E331" s="77">
        <v>5646</v>
      </c>
      <c r="F331" s="113"/>
      <c r="G331" s="113"/>
      <c r="H331" s="113"/>
      <c r="I331" s="77">
        <f t="shared" si="19"/>
        <v>5646</v>
      </c>
      <c r="J331" s="167"/>
      <c r="K331" s="212">
        <f t="shared" si="18"/>
        <v>5646</v>
      </c>
      <c r="L331" s="78"/>
    </row>
    <row r="332" spans="1:12" ht="30" customHeight="1">
      <c r="A332" s="73"/>
      <c r="B332" s="82" t="s">
        <v>693</v>
      </c>
      <c r="C332" s="77"/>
      <c r="D332" s="77"/>
      <c r="E332" s="77">
        <v>2995</v>
      </c>
      <c r="F332" s="113"/>
      <c r="G332" s="113"/>
      <c r="H332" s="113"/>
      <c r="I332" s="77">
        <f t="shared" si="19"/>
        <v>2995</v>
      </c>
      <c r="J332" s="167"/>
      <c r="K332" s="212">
        <f t="shared" si="18"/>
        <v>2995</v>
      </c>
      <c r="L332" s="78"/>
    </row>
    <row r="333" spans="1:12" ht="30" customHeight="1">
      <c r="A333" s="73"/>
      <c r="B333" s="82" t="s">
        <v>694</v>
      </c>
      <c r="C333" s="77"/>
      <c r="D333" s="77"/>
      <c r="E333" s="77">
        <v>8580</v>
      </c>
      <c r="F333" s="113"/>
      <c r="G333" s="113"/>
      <c r="H333" s="113"/>
      <c r="I333" s="77">
        <f t="shared" si="19"/>
        <v>8580</v>
      </c>
      <c r="J333" s="167"/>
      <c r="K333" s="212">
        <f t="shared" si="18"/>
        <v>8580</v>
      </c>
      <c r="L333" s="78"/>
    </row>
    <row r="334" spans="1:12" ht="30" customHeight="1">
      <c r="A334" s="73"/>
      <c r="B334" s="82" t="s">
        <v>695</v>
      </c>
      <c r="C334" s="77"/>
      <c r="D334" s="77"/>
      <c r="E334" s="77">
        <v>5700</v>
      </c>
      <c r="F334" s="113"/>
      <c r="G334" s="113"/>
      <c r="H334" s="113"/>
      <c r="I334" s="77">
        <f t="shared" si="19"/>
        <v>5700</v>
      </c>
      <c r="J334" s="167"/>
      <c r="K334" s="212">
        <f t="shared" si="18"/>
        <v>5700</v>
      </c>
      <c r="L334" s="78"/>
    </row>
    <row r="335" spans="1:12" ht="30" customHeight="1">
      <c r="A335" s="73"/>
      <c r="B335" s="82" t="s">
        <v>696</v>
      </c>
      <c r="C335" s="77"/>
      <c r="D335" s="77"/>
      <c r="E335" s="77">
        <v>2350</v>
      </c>
      <c r="F335" s="113"/>
      <c r="G335" s="113"/>
      <c r="H335" s="113"/>
      <c r="I335" s="77">
        <f t="shared" si="19"/>
        <v>2350</v>
      </c>
      <c r="J335" s="167"/>
      <c r="K335" s="212">
        <f t="shared" si="18"/>
        <v>2350</v>
      </c>
      <c r="L335" s="78"/>
    </row>
    <row r="336" spans="1:12" ht="30" customHeight="1">
      <c r="A336" s="73"/>
      <c r="B336" s="82" t="s">
        <v>697</v>
      </c>
      <c r="C336" s="77"/>
      <c r="D336" s="77"/>
      <c r="E336" s="77">
        <v>9130</v>
      </c>
      <c r="F336" s="113"/>
      <c r="G336" s="113"/>
      <c r="H336" s="113"/>
      <c r="I336" s="77">
        <f t="shared" si="19"/>
        <v>9130</v>
      </c>
      <c r="J336" s="167"/>
      <c r="K336" s="212">
        <f t="shared" si="18"/>
        <v>9130</v>
      </c>
      <c r="L336" s="78"/>
    </row>
    <row r="337" spans="1:12" ht="30" customHeight="1">
      <c r="A337" s="73"/>
      <c r="B337" s="82" t="s">
        <v>698</v>
      </c>
      <c r="C337" s="77"/>
      <c r="D337" s="77"/>
      <c r="E337" s="77">
        <v>989</v>
      </c>
      <c r="F337" s="113"/>
      <c r="G337" s="113"/>
      <c r="H337" s="113"/>
      <c r="I337" s="77">
        <f t="shared" si="19"/>
        <v>989</v>
      </c>
      <c r="J337" s="167"/>
      <c r="K337" s="212">
        <f t="shared" si="18"/>
        <v>989</v>
      </c>
      <c r="L337" s="78"/>
    </row>
    <row r="338" spans="1:12" ht="15" customHeight="1">
      <c r="A338" s="73"/>
      <c r="B338" s="82" t="s">
        <v>699</v>
      </c>
      <c r="C338" s="77"/>
      <c r="D338" s="77"/>
      <c r="E338" s="77">
        <v>6900</v>
      </c>
      <c r="F338" s="113"/>
      <c r="G338" s="113"/>
      <c r="H338" s="113"/>
      <c r="I338" s="77">
        <f t="shared" si="19"/>
        <v>6900</v>
      </c>
      <c r="J338" s="167"/>
      <c r="K338" s="212">
        <f t="shared" si="18"/>
        <v>6900</v>
      </c>
      <c r="L338" s="78"/>
    </row>
    <row r="339" spans="1:12" s="67" customFormat="1" ht="15" customHeight="1">
      <c r="A339" s="73"/>
      <c r="B339" s="82" t="s">
        <v>444</v>
      </c>
      <c r="C339" s="77"/>
      <c r="D339" s="77"/>
      <c r="E339" s="77">
        <v>2410</v>
      </c>
      <c r="F339" s="113"/>
      <c r="G339" s="113"/>
      <c r="H339" s="113"/>
      <c r="I339" s="77">
        <f t="shared" si="19"/>
        <v>2410</v>
      </c>
      <c r="J339" s="182"/>
      <c r="K339" s="212">
        <f t="shared" si="18"/>
        <v>2410</v>
      </c>
      <c r="L339" s="78"/>
    </row>
    <row r="340" spans="1:12" ht="15" customHeight="1">
      <c r="A340" s="73"/>
      <c r="B340" s="82" t="s">
        <v>700</v>
      </c>
      <c r="C340" s="77"/>
      <c r="D340" s="77"/>
      <c r="E340" s="77">
        <v>5367</v>
      </c>
      <c r="F340" s="113"/>
      <c r="G340" s="113"/>
      <c r="H340" s="113"/>
      <c r="I340" s="77">
        <f t="shared" si="19"/>
        <v>5367</v>
      </c>
      <c r="J340" s="167"/>
      <c r="K340" s="212">
        <f t="shared" si="18"/>
        <v>5367</v>
      </c>
      <c r="L340" s="78"/>
    </row>
    <row r="341" spans="1:12" ht="15" customHeight="1">
      <c r="A341" s="73"/>
      <c r="B341" s="82" t="s">
        <v>445</v>
      </c>
      <c r="C341" s="77"/>
      <c r="D341" s="77"/>
      <c r="E341" s="77">
        <v>5400</v>
      </c>
      <c r="F341" s="113"/>
      <c r="G341" s="113"/>
      <c r="H341" s="113"/>
      <c r="I341" s="77">
        <f t="shared" si="19"/>
        <v>5400</v>
      </c>
      <c r="J341" s="167"/>
      <c r="K341" s="212">
        <f t="shared" si="18"/>
        <v>5400</v>
      </c>
      <c r="L341" s="78"/>
    </row>
    <row r="342" spans="1:12" ht="15" customHeight="1">
      <c r="A342" s="73"/>
      <c r="B342" s="82" t="s">
        <v>446</v>
      </c>
      <c r="C342" s="77"/>
      <c r="D342" s="77"/>
      <c r="E342" s="77">
        <v>410</v>
      </c>
      <c r="F342" s="113"/>
      <c r="G342" s="113"/>
      <c r="H342" s="113"/>
      <c r="I342" s="77">
        <f t="shared" si="19"/>
        <v>410</v>
      </c>
      <c r="J342" s="167"/>
      <c r="K342" s="212">
        <f t="shared" si="18"/>
        <v>410</v>
      </c>
      <c r="L342" s="78"/>
    </row>
    <row r="343" spans="1:12" ht="15" customHeight="1">
      <c r="A343" s="73"/>
      <c r="B343" s="82" t="s">
        <v>447</v>
      </c>
      <c r="C343" s="77"/>
      <c r="D343" s="77"/>
      <c r="E343" s="77">
        <v>2100</v>
      </c>
      <c r="F343" s="113"/>
      <c r="G343" s="113"/>
      <c r="H343" s="113"/>
      <c r="I343" s="77">
        <f t="shared" si="19"/>
        <v>2100</v>
      </c>
      <c r="J343" s="167"/>
      <c r="K343" s="212">
        <f t="shared" si="18"/>
        <v>2100</v>
      </c>
      <c r="L343" s="78"/>
    </row>
    <row r="344" spans="1:12" ht="15" customHeight="1">
      <c r="A344" s="73"/>
      <c r="B344" s="82" t="s">
        <v>701</v>
      </c>
      <c r="C344" s="77"/>
      <c r="D344" s="77"/>
      <c r="E344" s="77">
        <v>19600</v>
      </c>
      <c r="F344" s="113"/>
      <c r="G344" s="113"/>
      <c r="H344" s="113"/>
      <c r="I344" s="77">
        <f t="shared" si="19"/>
        <v>19600</v>
      </c>
      <c r="J344" s="167"/>
      <c r="K344" s="212">
        <f t="shared" si="18"/>
        <v>19600</v>
      </c>
      <c r="L344" s="78"/>
    </row>
    <row r="345" spans="1:12" ht="15" customHeight="1">
      <c r="A345" s="73"/>
      <c r="B345" s="82" t="s">
        <v>702</v>
      </c>
      <c r="C345" s="77"/>
      <c r="D345" s="77"/>
      <c r="E345" s="77">
        <v>6665</v>
      </c>
      <c r="F345" s="113"/>
      <c r="G345" s="113"/>
      <c r="H345" s="113"/>
      <c r="I345" s="77">
        <f t="shared" si="19"/>
        <v>6665</v>
      </c>
      <c r="J345" s="167"/>
      <c r="K345" s="212">
        <f t="shared" si="18"/>
        <v>6665</v>
      </c>
      <c r="L345" s="78"/>
    </row>
    <row r="346" spans="1:12" ht="15" customHeight="1">
      <c r="A346" s="73"/>
      <c r="B346" s="82" t="s">
        <v>703</v>
      </c>
      <c r="C346" s="77"/>
      <c r="D346" s="77"/>
      <c r="E346" s="77">
        <v>9500</v>
      </c>
      <c r="F346" s="113"/>
      <c r="G346" s="113"/>
      <c r="H346" s="113"/>
      <c r="I346" s="77">
        <f t="shared" si="19"/>
        <v>9500</v>
      </c>
      <c r="J346" s="167"/>
      <c r="K346" s="212">
        <f t="shared" si="18"/>
        <v>9500</v>
      </c>
      <c r="L346" s="78"/>
    </row>
    <row r="347" spans="1:12" ht="15" customHeight="1">
      <c r="A347" s="73"/>
      <c r="B347" s="82" t="s">
        <v>704</v>
      </c>
      <c r="C347" s="77"/>
      <c r="D347" s="77"/>
      <c r="E347" s="77">
        <v>1800</v>
      </c>
      <c r="F347" s="113"/>
      <c r="G347" s="113"/>
      <c r="H347" s="113"/>
      <c r="I347" s="77">
        <f t="shared" si="19"/>
        <v>1800</v>
      </c>
      <c r="J347" s="167"/>
      <c r="K347" s="212">
        <f t="shared" si="18"/>
        <v>1800</v>
      </c>
      <c r="L347" s="78"/>
    </row>
    <row r="348" spans="1:12" ht="15" customHeight="1">
      <c r="A348" s="74" t="s">
        <v>448</v>
      </c>
      <c r="B348" s="74" t="s">
        <v>449</v>
      </c>
      <c r="C348" s="76"/>
      <c r="D348" s="76"/>
      <c r="E348" s="76">
        <f>SUM(E349:E356)</f>
        <v>859994</v>
      </c>
      <c r="F348" s="76">
        <f>SUM(F349:F356)</f>
        <v>0</v>
      </c>
      <c r="G348" s="76">
        <f>SUM(G349:G356)</f>
        <v>0</v>
      </c>
      <c r="H348" s="76"/>
      <c r="I348" s="76">
        <f t="shared" si="19"/>
        <v>859994</v>
      </c>
      <c r="J348" s="196">
        <f>F348</f>
        <v>0</v>
      </c>
      <c r="K348" s="212">
        <f t="shared" si="18"/>
        <v>859994</v>
      </c>
      <c r="L348" s="78"/>
    </row>
    <row r="349" spans="1:12" ht="15" customHeight="1">
      <c r="A349" s="73"/>
      <c r="B349" s="82" t="s">
        <v>434</v>
      </c>
      <c r="C349" s="77"/>
      <c r="D349" s="77"/>
      <c r="E349" s="70">
        <f>854362</f>
        <v>854362</v>
      </c>
      <c r="F349" s="115"/>
      <c r="G349" s="113"/>
      <c r="H349" s="113"/>
      <c r="I349" s="77">
        <f t="shared" si="19"/>
        <v>854362</v>
      </c>
      <c r="J349" s="195">
        <f>F349</f>
        <v>0</v>
      </c>
      <c r="K349" s="94">
        <f t="shared" si="18"/>
        <v>854362</v>
      </c>
      <c r="L349" s="78"/>
    </row>
    <row r="350" spans="1:12" ht="15" customHeight="1">
      <c r="A350" s="73"/>
      <c r="B350" s="83" t="s">
        <v>11</v>
      </c>
      <c r="C350" s="77"/>
      <c r="D350" s="77"/>
      <c r="E350" s="70">
        <v>197</v>
      </c>
      <c r="F350" s="115"/>
      <c r="G350" s="113"/>
      <c r="H350" s="113"/>
      <c r="I350" s="77">
        <f t="shared" si="19"/>
        <v>197</v>
      </c>
      <c r="J350" s="167"/>
      <c r="K350" s="212">
        <f t="shared" si="18"/>
        <v>197</v>
      </c>
      <c r="L350" s="78"/>
    </row>
    <row r="351" spans="1:12" ht="15" customHeight="1">
      <c r="A351" s="73"/>
      <c r="B351" s="82" t="s">
        <v>12</v>
      </c>
      <c r="C351" s="77"/>
      <c r="D351" s="77"/>
      <c r="E351" s="70">
        <v>2100</v>
      </c>
      <c r="F351" s="115"/>
      <c r="G351" s="113"/>
      <c r="H351" s="113"/>
      <c r="I351" s="77">
        <f t="shared" si="19"/>
        <v>2100</v>
      </c>
      <c r="J351" s="167"/>
      <c r="K351" s="212">
        <f t="shared" si="18"/>
        <v>2100</v>
      </c>
      <c r="L351" s="78"/>
    </row>
    <row r="352" spans="1:12" ht="15" customHeight="1">
      <c r="A352" s="73"/>
      <c r="B352" s="82" t="s">
        <v>14</v>
      </c>
      <c r="C352" s="77"/>
      <c r="D352" s="77"/>
      <c r="E352" s="70">
        <v>125</v>
      </c>
      <c r="F352" s="115"/>
      <c r="G352" s="113"/>
      <c r="H352" s="113"/>
      <c r="I352" s="77">
        <f t="shared" si="19"/>
        <v>125</v>
      </c>
      <c r="J352" s="167"/>
      <c r="K352" s="212">
        <f t="shared" si="20" ref="K352:K417">I352+J352</f>
        <v>125</v>
      </c>
      <c r="L352" s="78"/>
    </row>
    <row r="353" spans="1:12" ht="15" customHeight="1">
      <c r="A353" s="73"/>
      <c r="B353" s="82" t="s">
        <v>13</v>
      </c>
      <c r="C353" s="77"/>
      <c r="D353" s="77"/>
      <c r="E353" s="70">
        <v>2244</v>
      </c>
      <c r="F353" s="115"/>
      <c r="G353" s="113"/>
      <c r="H353" s="113"/>
      <c r="I353" s="77">
        <f t="shared" si="19"/>
        <v>2244</v>
      </c>
      <c r="J353" s="167"/>
      <c r="K353" s="212">
        <f t="shared" si="20"/>
        <v>2244</v>
      </c>
      <c r="L353" s="78"/>
    </row>
    <row r="354" spans="1:12" ht="15" customHeight="1">
      <c r="A354" s="73"/>
      <c r="B354" s="82" t="s">
        <v>15</v>
      </c>
      <c r="C354" s="77"/>
      <c r="D354" s="77"/>
      <c r="E354" s="70">
        <v>295</v>
      </c>
      <c r="F354" s="115"/>
      <c r="G354" s="113"/>
      <c r="H354" s="113"/>
      <c r="I354" s="77">
        <f t="shared" si="19"/>
        <v>295</v>
      </c>
      <c r="J354" s="167"/>
      <c r="K354" s="212">
        <f t="shared" si="20"/>
        <v>295</v>
      </c>
      <c r="L354" s="78"/>
    </row>
    <row r="355" spans="1:12" ht="15" customHeight="1">
      <c r="A355" s="73"/>
      <c r="B355" s="82" t="s">
        <v>16</v>
      </c>
      <c r="C355" s="77"/>
      <c r="D355" s="77"/>
      <c r="E355" s="70">
        <v>605</v>
      </c>
      <c r="F355" s="115"/>
      <c r="G355" s="113"/>
      <c r="H355" s="113"/>
      <c r="I355" s="77">
        <f t="shared" si="19"/>
        <v>605</v>
      </c>
      <c r="J355" s="167"/>
      <c r="K355" s="212">
        <f t="shared" si="20"/>
        <v>605</v>
      </c>
      <c r="L355" s="78"/>
    </row>
    <row r="356" spans="1:12" ht="15" customHeight="1">
      <c r="A356" s="73"/>
      <c r="B356" s="82" t="s">
        <v>18</v>
      </c>
      <c r="C356" s="77"/>
      <c r="D356" s="77"/>
      <c r="E356" s="70">
        <v>66</v>
      </c>
      <c r="F356" s="115"/>
      <c r="G356" s="113"/>
      <c r="H356" s="113"/>
      <c r="I356" s="77">
        <f t="shared" si="19"/>
        <v>66</v>
      </c>
      <c r="J356" s="167"/>
      <c r="K356" s="212">
        <f t="shared" si="20"/>
        <v>66</v>
      </c>
      <c r="L356" s="78"/>
    </row>
    <row r="357" spans="1:12" s="68" customFormat="1" ht="15" customHeight="1">
      <c r="A357" s="74" t="s">
        <v>450</v>
      </c>
      <c r="B357" s="75" t="s">
        <v>451</v>
      </c>
      <c r="C357" s="76"/>
      <c r="D357" s="76"/>
      <c r="E357" s="76">
        <f>E358+E366+E367+E394</f>
        <v>316690</v>
      </c>
      <c r="F357" s="76">
        <f>F358+F366+F367+F394</f>
        <v>0</v>
      </c>
      <c r="G357" s="76">
        <f>G358+G366+G367+G394</f>
        <v>0</v>
      </c>
      <c r="H357" s="76"/>
      <c r="I357" s="76">
        <f t="shared" si="21" ref="I357:I388">E357</f>
        <v>316690</v>
      </c>
      <c r="J357" s="212">
        <f>F357</f>
        <v>0</v>
      </c>
      <c r="K357" s="212">
        <f t="shared" si="20"/>
        <v>316690</v>
      </c>
      <c r="L357" s="78"/>
    </row>
    <row r="358" spans="1:12" ht="15" customHeight="1">
      <c r="A358" s="74" t="s">
        <v>452</v>
      </c>
      <c r="B358" s="75" t="s">
        <v>453</v>
      </c>
      <c r="C358" s="76"/>
      <c r="D358" s="76"/>
      <c r="E358" s="76">
        <f>SUM(E359:E365)</f>
        <v>31438</v>
      </c>
      <c r="F358" s="76">
        <f>SUM(F359:F365)</f>
        <v>0</v>
      </c>
      <c r="G358" s="76">
        <f>SUM(G359:G365)</f>
        <v>0</v>
      </c>
      <c r="H358" s="76"/>
      <c r="I358" s="76">
        <f>E358</f>
        <v>31438</v>
      </c>
      <c r="J358" s="167"/>
      <c r="K358" s="212">
        <f t="shared" si="20"/>
        <v>31438</v>
      </c>
      <c r="L358" s="78"/>
    </row>
    <row r="359" spans="1:12" ht="15" customHeight="1">
      <c r="A359" s="73"/>
      <c r="B359" s="82" t="s">
        <v>66</v>
      </c>
      <c r="C359" s="77"/>
      <c r="D359" s="77"/>
      <c r="E359" s="77">
        <v>11300</v>
      </c>
      <c r="F359" s="113"/>
      <c r="G359" s="113"/>
      <c r="H359" s="113"/>
      <c r="I359" s="77">
        <f t="shared" si="21"/>
        <v>11300</v>
      </c>
      <c r="J359" s="167"/>
      <c r="K359" s="212">
        <f t="shared" si="20"/>
        <v>11300</v>
      </c>
      <c r="L359" s="78"/>
    </row>
    <row r="360" spans="1:12" ht="15" customHeight="1">
      <c r="A360" s="73"/>
      <c r="B360" s="82" t="s">
        <v>111</v>
      </c>
      <c r="C360" s="77"/>
      <c r="D360" s="77"/>
      <c r="E360" s="77">
        <v>8508</v>
      </c>
      <c r="F360" s="113"/>
      <c r="G360" s="113"/>
      <c r="H360" s="113"/>
      <c r="I360" s="77">
        <f t="shared" si="21"/>
        <v>8508</v>
      </c>
      <c r="J360" s="167"/>
      <c r="K360" s="212">
        <f t="shared" si="20"/>
        <v>8508</v>
      </c>
      <c r="L360" s="78"/>
    </row>
    <row r="361" spans="1:12" ht="15" customHeight="1">
      <c r="A361" s="73"/>
      <c r="B361" s="82" t="s">
        <v>169</v>
      </c>
      <c r="C361" s="77"/>
      <c r="D361" s="77"/>
      <c r="E361" s="77">
        <v>4350</v>
      </c>
      <c r="F361" s="113"/>
      <c r="G361" s="113"/>
      <c r="H361" s="113"/>
      <c r="I361" s="77">
        <f t="shared" si="21"/>
        <v>4350</v>
      </c>
      <c r="J361" s="167"/>
      <c r="K361" s="212">
        <f t="shared" si="20"/>
        <v>4350</v>
      </c>
      <c r="L361" s="78"/>
    </row>
    <row r="362" spans="1:12" ht="15" customHeight="1">
      <c r="A362" s="73"/>
      <c r="B362" s="82" t="s">
        <v>627</v>
      </c>
      <c r="C362" s="77"/>
      <c r="D362" s="77"/>
      <c r="E362" s="77">
        <v>1170</v>
      </c>
      <c r="F362" s="113"/>
      <c r="G362" s="113"/>
      <c r="H362" s="113"/>
      <c r="I362" s="77">
        <f t="shared" si="21"/>
        <v>1170</v>
      </c>
      <c r="J362" s="167"/>
      <c r="K362" s="212">
        <f t="shared" si="20"/>
        <v>1170</v>
      </c>
      <c r="L362" s="78"/>
    </row>
    <row r="363" spans="1:12" ht="16.5" customHeight="1">
      <c r="A363" s="73"/>
      <c r="B363" s="83" t="s">
        <v>108</v>
      </c>
      <c r="C363" s="77"/>
      <c r="D363" s="77"/>
      <c r="E363" s="77">
        <v>2550</v>
      </c>
      <c r="F363" s="113"/>
      <c r="G363" s="113"/>
      <c r="H363" s="113"/>
      <c r="I363" s="77">
        <f t="shared" si="21"/>
        <v>2550</v>
      </c>
      <c r="J363" s="167"/>
      <c r="K363" s="212">
        <f t="shared" si="20"/>
        <v>2550</v>
      </c>
      <c r="L363" s="78"/>
    </row>
    <row r="364" spans="1:12" ht="15" customHeight="1">
      <c r="A364" s="73"/>
      <c r="B364" s="83" t="s">
        <v>105</v>
      </c>
      <c r="C364" s="77"/>
      <c r="D364" s="77"/>
      <c r="E364" s="77">
        <v>1560</v>
      </c>
      <c r="F364" s="113"/>
      <c r="G364" s="113"/>
      <c r="H364" s="113"/>
      <c r="I364" s="77">
        <f t="shared" si="21"/>
        <v>1560</v>
      </c>
      <c r="J364" s="167"/>
      <c r="K364" s="212">
        <f t="shared" si="20"/>
        <v>1560</v>
      </c>
      <c r="L364" s="78"/>
    </row>
    <row r="365" spans="1:12" ht="15" customHeight="1">
      <c r="A365" s="73"/>
      <c r="B365" s="83" t="s">
        <v>113</v>
      </c>
      <c r="C365" s="77"/>
      <c r="D365" s="77"/>
      <c r="E365" s="77">
        <v>2000</v>
      </c>
      <c r="F365" s="113"/>
      <c r="G365" s="113"/>
      <c r="H365" s="113"/>
      <c r="I365" s="77">
        <f t="shared" si="21"/>
        <v>2000</v>
      </c>
      <c r="J365" s="167"/>
      <c r="K365" s="212">
        <f t="shared" si="20"/>
        <v>2000</v>
      </c>
      <c r="L365" s="78"/>
    </row>
    <row r="366" spans="1:12" ht="15" customHeight="1">
      <c r="A366" s="74" t="s">
        <v>454</v>
      </c>
      <c r="B366" s="106" t="s">
        <v>455</v>
      </c>
      <c r="C366" s="76"/>
      <c r="D366" s="76"/>
      <c r="E366" s="76">
        <v>100000</v>
      </c>
      <c r="F366" s="76">
        <v>0</v>
      </c>
      <c r="G366" s="112"/>
      <c r="H366" s="112"/>
      <c r="I366" s="76">
        <f t="shared" si="21"/>
        <v>100000</v>
      </c>
      <c r="J366" s="167"/>
      <c r="K366" s="212">
        <f t="shared" si="20"/>
        <v>100000</v>
      </c>
      <c r="L366" s="78"/>
    </row>
    <row r="367" spans="1:12" ht="15" customHeight="1">
      <c r="A367" s="74" t="s">
        <v>456</v>
      </c>
      <c r="B367" s="74" t="s">
        <v>457</v>
      </c>
      <c r="C367" s="76"/>
      <c r="D367" s="76"/>
      <c r="E367" s="76">
        <f>SUM(E368:E393)</f>
        <v>139763</v>
      </c>
      <c r="F367" s="76">
        <f>SUM(F368:F393)</f>
        <v>0</v>
      </c>
      <c r="G367" s="76">
        <f>SUM(G368:G393)</f>
        <v>0</v>
      </c>
      <c r="H367" s="76"/>
      <c r="I367" s="76">
        <f>E367</f>
        <v>139763</v>
      </c>
      <c r="J367" s="196">
        <f>F367</f>
        <v>0</v>
      </c>
      <c r="K367" s="212">
        <f t="shared" si="20"/>
        <v>139763</v>
      </c>
      <c r="L367" s="78"/>
    </row>
    <row r="368" spans="1:12" ht="15" customHeight="1">
      <c r="A368" s="73"/>
      <c r="B368" s="83" t="s">
        <v>127</v>
      </c>
      <c r="C368" s="77"/>
      <c r="D368" s="77"/>
      <c r="E368" s="77">
        <v>21000</v>
      </c>
      <c r="F368" s="113"/>
      <c r="G368" s="113"/>
      <c r="H368" s="113"/>
      <c r="I368" s="77">
        <f t="shared" si="21"/>
        <v>21000</v>
      </c>
      <c r="J368" s="167"/>
      <c r="K368" s="212">
        <f t="shared" si="20"/>
        <v>21000</v>
      </c>
      <c r="L368" s="78"/>
    </row>
    <row r="369" spans="1:12" ht="15" customHeight="1">
      <c r="A369" s="73"/>
      <c r="B369" s="83" t="s">
        <v>5</v>
      </c>
      <c r="C369" s="77"/>
      <c r="D369" s="77"/>
      <c r="E369" s="77">
        <v>1300</v>
      </c>
      <c r="F369" s="113"/>
      <c r="G369" s="113"/>
      <c r="H369" s="113"/>
      <c r="I369" s="77">
        <f t="shared" si="21"/>
        <v>1300</v>
      </c>
      <c r="J369" s="167"/>
      <c r="K369" s="212">
        <f t="shared" si="20"/>
        <v>1300</v>
      </c>
      <c r="L369" s="78"/>
    </row>
    <row r="370" spans="1:12" ht="15" customHeight="1">
      <c r="A370" s="73"/>
      <c r="B370" s="83" t="s">
        <v>458</v>
      </c>
      <c r="C370" s="77"/>
      <c r="D370" s="77"/>
      <c r="E370" s="77">
        <v>25000</v>
      </c>
      <c r="F370" s="113"/>
      <c r="G370" s="113"/>
      <c r="H370" s="113"/>
      <c r="I370" s="77">
        <f t="shared" si="21"/>
        <v>25000</v>
      </c>
      <c r="J370" s="167"/>
      <c r="K370" s="212">
        <f t="shared" si="20"/>
        <v>25000</v>
      </c>
      <c r="L370" s="78"/>
    </row>
    <row r="371" spans="1:12" ht="15" customHeight="1">
      <c r="A371" s="73"/>
      <c r="B371" s="83" t="s">
        <v>434</v>
      </c>
      <c r="C371" s="77"/>
      <c r="D371" s="77"/>
      <c r="E371" s="77">
        <f>9886+4868+37057+13566</f>
        <v>65377</v>
      </c>
      <c r="F371" s="113"/>
      <c r="G371" s="113"/>
      <c r="H371" s="113"/>
      <c r="I371" s="77">
        <f t="shared" si="21"/>
        <v>65377</v>
      </c>
      <c r="J371" s="195">
        <f>F371</f>
        <v>0</v>
      </c>
      <c r="K371" s="94">
        <f t="shared" si="20"/>
        <v>65377</v>
      </c>
      <c r="L371" s="78"/>
    </row>
    <row r="372" spans="1:12" ht="15" customHeight="1">
      <c r="A372" s="73"/>
      <c r="B372" s="84" t="s">
        <v>596</v>
      </c>
      <c r="C372" s="77"/>
      <c r="D372" s="77"/>
      <c r="E372" s="77">
        <v>600</v>
      </c>
      <c r="F372" s="113"/>
      <c r="G372" s="113"/>
      <c r="H372" s="113"/>
      <c r="I372" s="77">
        <f t="shared" si="21"/>
        <v>600</v>
      </c>
      <c r="J372" s="167"/>
      <c r="K372" s="212">
        <f t="shared" si="20"/>
        <v>600</v>
      </c>
      <c r="L372" s="78"/>
    </row>
    <row r="373" spans="1:12" ht="19.5" customHeight="1">
      <c r="A373" s="73"/>
      <c r="B373" s="82" t="s">
        <v>609</v>
      </c>
      <c r="C373" s="77"/>
      <c r="D373" s="77"/>
      <c r="E373" s="77">
        <v>1300</v>
      </c>
      <c r="F373" s="113"/>
      <c r="G373" s="113"/>
      <c r="H373" s="113"/>
      <c r="I373" s="77">
        <f t="shared" si="21"/>
        <v>1300</v>
      </c>
      <c r="J373" s="167"/>
      <c r="K373" s="212">
        <f t="shared" si="20"/>
        <v>1300</v>
      </c>
      <c r="L373" s="78"/>
    </row>
    <row r="374" spans="1:12" ht="15" customHeight="1">
      <c r="A374" s="73"/>
      <c r="B374" s="83" t="s">
        <v>662</v>
      </c>
      <c r="C374" s="77"/>
      <c r="D374" s="77"/>
      <c r="E374" s="77">
        <v>495</v>
      </c>
      <c r="F374" s="113"/>
      <c r="G374" s="113"/>
      <c r="H374" s="113"/>
      <c r="I374" s="77">
        <f t="shared" si="21"/>
        <v>495</v>
      </c>
      <c r="J374" s="167"/>
      <c r="K374" s="212">
        <f t="shared" si="20"/>
        <v>495</v>
      </c>
      <c r="L374" s="78"/>
    </row>
    <row r="375" spans="1:12" ht="15" customHeight="1">
      <c r="A375" s="73"/>
      <c r="B375" s="84" t="s">
        <v>661</v>
      </c>
      <c r="C375" s="77"/>
      <c r="D375" s="77"/>
      <c r="E375" s="77">
        <v>600</v>
      </c>
      <c r="F375" s="113"/>
      <c r="G375" s="113"/>
      <c r="H375" s="113"/>
      <c r="I375" s="77">
        <f t="shared" si="21"/>
        <v>600</v>
      </c>
      <c r="J375" s="167"/>
      <c r="K375" s="212">
        <f t="shared" si="20"/>
        <v>600</v>
      </c>
      <c r="L375" s="78"/>
    </row>
    <row r="376" spans="1:12" ht="21.75" customHeight="1">
      <c r="A376" s="73"/>
      <c r="B376" s="83" t="s">
        <v>577</v>
      </c>
      <c r="C376" s="77"/>
      <c r="D376" s="77"/>
      <c r="E376" s="77">
        <v>1500</v>
      </c>
      <c r="F376" s="113"/>
      <c r="G376" s="113"/>
      <c r="H376" s="113"/>
      <c r="I376" s="77">
        <f t="shared" si="21"/>
        <v>1500</v>
      </c>
      <c r="J376" s="167"/>
      <c r="K376" s="212">
        <f t="shared" si="20"/>
        <v>1500</v>
      </c>
      <c r="L376" s="78"/>
    </row>
    <row r="377" spans="1:12" ht="30" customHeight="1">
      <c r="A377" s="73"/>
      <c r="B377" s="83" t="s">
        <v>597</v>
      </c>
      <c r="C377" s="77"/>
      <c r="D377" s="77"/>
      <c r="E377" s="77">
        <v>1800</v>
      </c>
      <c r="F377" s="113"/>
      <c r="G377" s="113"/>
      <c r="H377" s="113"/>
      <c r="I377" s="77">
        <f t="shared" si="21"/>
        <v>1800</v>
      </c>
      <c r="J377" s="167"/>
      <c r="K377" s="212">
        <f t="shared" si="20"/>
        <v>1800</v>
      </c>
      <c r="L377" s="78"/>
    </row>
    <row r="378" spans="1:12" ht="30" customHeight="1">
      <c r="A378" s="73"/>
      <c r="B378" s="82" t="s">
        <v>598</v>
      </c>
      <c r="C378" s="77"/>
      <c r="D378" s="77"/>
      <c r="E378" s="77">
        <v>400</v>
      </c>
      <c r="F378" s="113"/>
      <c r="G378" s="113"/>
      <c r="H378" s="113"/>
      <c r="I378" s="77">
        <f t="shared" si="21"/>
        <v>400</v>
      </c>
      <c r="J378" s="167"/>
      <c r="K378" s="212">
        <f t="shared" si="20"/>
        <v>400</v>
      </c>
      <c r="L378" s="78"/>
    </row>
    <row r="379" spans="1:12" ht="30" customHeight="1">
      <c r="A379" s="73"/>
      <c r="B379" s="82" t="s">
        <v>242</v>
      </c>
      <c r="C379" s="77"/>
      <c r="D379" s="77"/>
      <c r="E379" s="77">
        <v>1800</v>
      </c>
      <c r="F379" s="113"/>
      <c r="G379" s="113"/>
      <c r="H379" s="113"/>
      <c r="I379" s="77">
        <f t="shared" si="21"/>
        <v>1800</v>
      </c>
      <c r="J379" s="167"/>
      <c r="K379" s="212">
        <f t="shared" si="20"/>
        <v>1800</v>
      </c>
      <c r="L379" s="78"/>
    </row>
    <row r="380" spans="1:12" ht="30" customHeight="1">
      <c r="A380" s="73"/>
      <c r="B380" s="84" t="s">
        <v>588</v>
      </c>
      <c r="C380" s="77"/>
      <c r="D380" s="77"/>
      <c r="E380" s="77">
        <v>100</v>
      </c>
      <c r="F380" s="113"/>
      <c r="G380" s="113"/>
      <c r="H380" s="113"/>
      <c r="I380" s="77">
        <f t="shared" si="21"/>
        <v>100</v>
      </c>
      <c r="J380" s="167"/>
      <c r="K380" s="212">
        <f t="shared" si="20"/>
        <v>100</v>
      </c>
      <c r="L380" s="78"/>
    </row>
    <row r="381" spans="1:12" ht="30" customHeight="1">
      <c r="A381" s="73"/>
      <c r="B381" s="83" t="s">
        <v>604</v>
      </c>
      <c r="C381" s="77"/>
      <c r="D381" s="77"/>
      <c r="E381" s="77">
        <v>200</v>
      </c>
      <c r="F381" s="113"/>
      <c r="G381" s="113"/>
      <c r="H381" s="113"/>
      <c r="I381" s="77">
        <f t="shared" si="21"/>
        <v>200</v>
      </c>
      <c r="J381" s="167"/>
      <c r="K381" s="212">
        <f t="shared" si="20"/>
        <v>200</v>
      </c>
      <c r="L381" s="78"/>
    </row>
    <row r="382" spans="1:12" ht="30" customHeight="1">
      <c r="A382" s="73"/>
      <c r="B382" s="84" t="s">
        <v>603</v>
      </c>
      <c r="C382" s="77"/>
      <c r="D382" s="77"/>
      <c r="E382" s="70">
        <v>1000</v>
      </c>
      <c r="F382" s="115"/>
      <c r="G382" s="113"/>
      <c r="H382" s="113"/>
      <c r="I382" s="77">
        <f t="shared" si="21"/>
        <v>1000</v>
      </c>
      <c r="J382" s="167"/>
      <c r="K382" s="212">
        <f t="shared" si="20"/>
        <v>1000</v>
      </c>
      <c r="L382" s="78"/>
    </row>
    <row r="383" spans="1:12" ht="15.75">
      <c r="A383" s="73"/>
      <c r="B383" s="82" t="s">
        <v>551</v>
      </c>
      <c r="C383" s="77"/>
      <c r="D383" s="77"/>
      <c r="E383" s="77">
        <v>500</v>
      </c>
      <c r="F383" s="113"/>
      <c r="G383" s="113"/>
      <c r="H383" s="113"/>
      <c r="I383" s="77">
        <f t="shared" si="21"/>
        <v>500</v>
      </c>
      <c r="J383" s="167"/>
      <c r="K383" s="212">
        <f t="shared" si="20"/>
        <v>500</v>
      </c>
      <c r="L383" s="78"/>
    </row>
    <row r="384" spans="1:12" ht="20.25" customHeight="1">
      <c r="A384" s="73"/>
      <c r="B384" s="82" t="s">
        <v>67</v>
      </c>
      <c r="C384" s="77"/>
      <c r="D384" s="77"/>
      <c r="E384" s="77">
        <v>8691</v>
      </c>
      <c r="F384" s="113"/>
      <c r="G384" s="113"/>
      <c r="H384" s="113"/>
      <c r="I384" s="77">
        <f t="shared" si="21"/>
        <v>8691</v>
      </c>
      <c r="J384" s="167"/>
      <c r="K384" s="212">
        <f t="shared" si="20"/>
        <v>8691</v>
      </c>
      <c r="L384" s="78"/>
    </row>
    <row r="385" spans="1:12" ht="30.75" customHeight="1">
      <c r="A385" s="73"/>
      <c r="B385" s="82" t="s">
        <v>599</v>
      </c>
      <c r="C385" s="77"/>
      <c r="D385" s="77"/>
      <c r="E385" s="77">
        <v>660</v>
      </c>
      <c r="F385" s="113"/>
      <c r="G385" s="113"/>
      <c r="H385" s="113"/>
      <c r="I385" s="77">
        <f t="shared" si="21"/>
        <v>660</v>
      </c>
      <c r="J385" s="167"/>
      <c r="K385" s="212">
        <f t="shared" si="20"/>
        <v>660</v>
      </c>
      <c r="L385" s="78"/>
    </row>
    <row r="386" spans="1:12" ht="28.5" customHeight="1">
      <c r="A386" s="73"/>
      <c r="B386" s="82" t="s">
        <v>600</v>
      </c>
      <c r="C386" s="77"/>
      <c r="D386" s="77"/>
      <c r="E386" s="77">
        <v>1900</v>
      </c>
      <c r="F386" s="113"/>
      <c r="G386" s="113"/>
      <c r="H386" s="113"/>
      <c r="I386" s="77">
        <f t="shared" si="21"/>
        <v>1900</v>
      </c>
      <c r="J386" s="167"/>
      <c r="K386" s="212">
        <f t="shared" si="20"/>
        <v>1900</v>
      </c>
      <c r="L386" s="78"/>
    </row>
    <row r="387" spans="1:12" ht="27" customHeight="1">
      <c r="A387" s="73"/>
      <c r="B387" s="82" t="s">
        <v>601</v>
      </c>
      <c r="C387" s="77"/>
      <c r="D387" s="77"/>
      <c r="E387" s="77">
        <v>300</v>
      </c>
      <c r="F387" s="113"/>
      <c r="G387" s="113"/>
      <c r="H387" s="113"/>
      <c r="I387" s="77">
        <f t="shared" si="21"/>
        <v>300</v>
      </c>
      <c r="J387" s="167"/>
      <c r="K387" s="212">
        <f t="shared" si="20"/>
        <v>300</v>
      </c>
      <c r="L387" s="78"/>
    </row>
    <row r="388" spans="1:12" ht="39.75" customHeight="1">
      <c r="A388" s="73"/>
      <c r="B388" s="82" t="s">
        <v>553</v>
      </c>
      <c r="C388" s="77"/>
      <c r="D388" s="77"/>
      <c r="E388" s="77">
        <v>1000</v>
      </c>
      <c r="F388" s="113"/>
      <c r="G388" s="113"/>
      <c r="H388" s="113"/>
      <c r="I388" s="77">
        <f t="shared" si="21"/>
        <v>1000</v>
      </c>
      <c r="J388" s="167"/>
      <c r="K388" s="212">
        <f t="shared" si="20"/>
        <v>1000</v>
      </c>
      <c r="L388" s="78"/>
    </row>
    <row r="389" spans="1:12" ht="24.75" customHeight="1">
      <c r="A389" s="73"/>
      <c r="B389" s="82" t="s">
        <v>113</v>
      </c>
      <c r="C389" s="77"/>
      <c r="D389" s="77"/>
      <c r="E389" s="70">
        <v>40</v>
      </c>
      <c r="F389" s="115"/>
      <c r="G389" s="113"/>
      <c r="H389" s="113"/>
      <c r="I389" s="77">
        <f t="shared" si="22" ref="I389:I416">E389</f>
        <v>40</v>
      </c>
      <c r="J389" s="167"/>
      <c r="K389" s="212">
        <f t="shared" si="20"/>
        <v>40</v>
      </c>
      <c r="L389" s="78"/>
    </row>
    <row r="390" spans="1:12" ht="15.75">
      <c r="A390" s="73"/>
      <c r="B390" s="84" t="s">
        <v>602</v>
      </c>
      <c r="C390" s="77"/>
      <c r="D390" s="77"/>
      <c r="E390" s="77">
        <v>1000</v>
      </c>
      <c r="F390" s="113"/>
      <c r="G390" s="113"/>
      <c r="H390" s="113"/>
      <c r="I390" s="77">
        <f t="shared" si="22"/>
        <v>1000</v>
      </c>
      <c r="J390" s="167"/>
      <c r="K390" s="212">
        <f t="shared" si="20"/>
        <v>1000</v>
      </c>
      <c r="L390" s="78"/>
    </row>
    <row r="391" spans="1:12" ht="33.6" customHeight="1">
      <c r="A391" s="73"/>
      <c r="B391" s="82" t="s">
        <v>663</v>
      </c>
      <c r="C391" s="77"/>
      <c r="D391" s="77"/>
      <c r="E391" s="77">
        <v>2400</v>
      </c>
      <c r="F391" s="113"/>
      <c r="G391" s="113"/>
      <c r="H391" s="113"/>
      <c r="I391" s="77">
        <f t="shared" si="22"/>
        <v>2400</v>
      </c>
      <c r="J391" s="167"/>
      <c r="K391" s="212">
        <f t="shared" si="20"/>
        <v>2400</v>
      </c>
      <c r="L391" s="78"/>
    </row>
    <row r="392" spans="1:12" ht="30.6" customHeight="1">
      <c r="A392" s="73"/>
      <c r="B392" s="82" t="s">
        <v>581</v>
      </c>
      <c r="C392" s="77"/>
      <c r="D392" s="77"/>
      <c r="E392" s="70">
        <v>400</v>
      </c>
      <c r="F392" s="115"/>
      <c r="G392" s="113"/>
      <c r="H392" s="113"/>
      <c r="I392" s="77">
        <f t="shared" si="22"/>
        <v>400</v>
      </c>
      <c r="J392" s="167"/>
      <c r="K392" s="212">
        <f t="shared" si="20"/>
        <v>400</v>
      </c>
      <c r="L392" s="78"/>
    </row>
    <row r="393" spans="1:12" ht="30.6" customHeight="1">
      <c r="A393" s="73"/>
      <c r="B393" s="82" t="s">
        <v>169</v>
      </c>
      <c r="C393" s="77"/>
      <c r="D393" s="77"/>
      <c r="E393" s="70">
        <v>400</v>
      </c>
      <c r="F393" s="115"/>
      <c r="G393" s="113"/>
      <c r="H393" s="113"/>
      <c r="I393" s="77">
        <f t="shared" si="22"/>
        <v>400</v>
      </c>
      <c r="J393" s="167"/>
      <c r="K393" s="212">
        <f t="shared" si="20"/>
        <v>400</v>
      </c>
      <c r="L393" s="78"/>
    </row>
    <row r="394" spans="1:12" ht="15" customHeight="1">
      <c r="A394" s="74" t="s">
        <v>459</v>
      </c>
      <c r="B394" s="74" t="s">
        <v>460</v>
      </c>
      <c r="C394" s="76"/>
      <c r="D394" s="76"/>
      <c r="E394" s="76">
        <f>SUM(E395:E412)</f>
        <v>45489</v>
      </c>
      <c r="F394" s="76"/>
      <c r="G394" s="76">
        <f>SUM(G395:G412)</f>
        <v>0</v>
      </c>
      <c r="H394" s="76"/>
      <c r="I394" s="76">
        <f t="shared" si="22"/>
        <v>45489</v>
      </c>
      <c r="J394" s="167"/>
      <c r="K394" s="212">
        <f t="shared" si="20"/>
        <v>45489</v>
      </c>
      <c r="L394" s="78"/>
    </row>
    <row r="395" spans="1:12" ht="15" customHeight="1">
      <c r="A395" s="73"/>
      <c r="B395" s="83" t="s">
        <v>28</v>
      </c>
      <c r="C395" s="77"/>
      <c r="D395" s="77"/>
      <c r="E395" s="77">
        <v>2200</v>
      </c>
      <c r="F395" s="113"/>
      <c r="G395" s="113"/>
      <c r="H395" s="113"/>
      <c r="I395" s="77">
        <f t="shared" si="22"/>
        <v>2200</v>
      </c>
      <c r="J395" s="167"/>
      <c r="K395" s="212">
        <f t="shared" si="20"/>
        <v>2200</v>
      </c>
      <c r="L395" s="78"/>
    </row>
    <row r="396" spans="1:12" ht="15" customHeight="1">
      <c r="A396" s="73"/>
      <c r="B396" s="83" t="s">
        <v>29</v>
      </c>
      <c r="C396" s="77"/>
      <c r="D396" s="77"/>
      <c r="E396" s="77">
        <v>2400</v>
      </c>
      <c r="F396" s="113"/>
      <c r="G396" s="113"/>
      <c r="H396" s="113"/>
      <c r="I396" s="77">
        <f t="shared" si="22"/>
        <v>2400</v>
      </c>
      <c r="J396" s="167"/>
      <c r="K396" s="212">
        <f t="shared" si="20"/>
        <v>2400</v>
      </c>
      <c r="L396" s="78"/>
    </row>
    <row r="397" spans="1:12" ht="15" customHeight="1">
      <c r="A397" s="73"/>
      <c r="B397" s="83" t="s">
        <v>540</v>
      </c>
      <c r="C397" s="77"/>
      <c r="D397" s="77"/>
      <c r="E397" s="77">
        <v>1875</v>
      </c>
      <c r="F397" s="113"/>
      <c r="G397" s="113"/>
      <c r="H397" s="113"/>
      <c r="I397" s="77">
        <f t="shared" si="22"/>
        <v>1875</v>
      </c>
      <c r="J397" s="167"/>
      <c r="K397" s="212">
        <f t="shared" si="20"/>
        <v>1875</v>
      </c>
      <c r="L397" s="78"/>
    </row>
    <row r="398" spans="1:12" ht="15" customHeight="1">
      <c r="A398" s="73"/>
      <c r="B398" s="83" t="s">
        <v>461</v>
      </c>
      <c r="C398" s="77"/>
      <c r="D398" s="77"/>
      <c r="E398" s="77">
        <v>1250</v>
      </c>
      <c r="F398" s="113"/>
      <c r="G398" s="113"/>
      <c r="H398" s="113"/>
      <c r="I398" s="77">
        <f t="shared" si="22"/>
        <v>1250</v>
      </c>
      <c r="J398" s="167"/>
      <c r="K398" s="212">
        <f t="shared" si="20"/>
        <v>1250</v>
      </c>
      <c r="L398" s="78"/>
    </row>
    <row r="399" spans="1:12" ht="15" customHeight="1">
      <c r="A399" s="73"/>
      <c r="B399" s="83" t="s">
        <v>396</v>
      </c>
      <c r="C399" s="77"/>
      <c r="D399" s="77"/>
      <c r="E399" s="77">
        <v>1300</v>
      </c>
      <c r="F399" s="113"/>
      <c r="G399" s="113"/>
      <c r="H399" s="113"/>
      <c r="I399" s="77">
        <f t="shared" si="22"/>
        <v>1300</v>
      </c>
      <c r="J399" s="167"/>
      <c r="K399" s="212">
        <f t="shared" si="20"/>
        <v>1300</v>
      </c>
      <c r="L399" s="78"/>
    </row>
    <row r="400" spans="1:12" ht="15" customHeight="1">
      <c r="A400" s="73"/>
      <c r="B400" s="83" t="s">
        <v>631</v>
      </c>
      <c r="C400" s="77"/>
      <c r="D400" s="77"/>
      <c r="E400" s="77">
        <v>110</v>
      </c>
      <c r="F400" s="113"/>
      <c r="G400" s="113"/>
      <c r="H400" s="113"/>
      <c r="I400" s="77">
        <f t="shared" si="22"/>
        <v>110</v>
      </c>
      <c r="J400" s="167"/>
      <c r="K400" s="212">
        <f t="shared" si="20"/>
        <v>110</v>
      </c>
      <c r="L400" s="78"/>
    </row>
    <row r="401" spans="1:12" ht="15" customHeight="1">
      <c r="A401" s="73"/>
      <c r="B401" s="83" t="s">
        <v>111</v>
      </c>
      <c r="C401" s="77"/>
      <c r="D401" s="77"/>
      <c r="E401" s="77">
        <v>1220</v>
      </c>
      <c r="F401" s="113"/>
      <c r="G401" s="113"/>
      <c r="H401" s="113"/>
      <c r="I401" s="77">
        <f t="shared" si="22"/>
        <v>1220</v>
      </c>
      <c r="J401" s="167"/>
      <c r="K401" s="212">
        <f t="shared" si="20"/>
        <v>1220</v>
      </c>
      <c r="L401" s="78"/>
    </row>
    <row r="402" spans="1:12" ht="15" customHeight="1">
      <c r="A402" s="73"/>
      <c r="B402" s="83" t="s">
        <v>108</v>
      </c>
      <c r="C402" s="77"/>
      <c r="D402" s="77"/>
      <c r="E402" s="77">
        <v>3500</v>
      </c>
      <c r="F402" s="113"/>
      <c r="G402" s="113"/>
      <c r="H402" s="113"/>
      <c r="I402" s="77">
        <f t="shared" si="22"/>
        <v>3500</v>
      </c>
      <c r="J402" s="167"/>
      <c r="K402" s="212">
        <f t="shared" si="20"/>
        <v>3500</v>
      </c>
      <c r="L402" s="78"/>
    </row>
    <row r="403" spans="1:12" ht="15" customHeight="1">
      <c r="A403" s="73"/>
      <c r="B403" s="83" t="s">
        <v>31</v>
      </c>
      <c r="C403" s="77"/>
      <c r="D403" s="77"/>
      <c r="E403" s="77">
        <v>2574</v>
      </c>
      <c r="F403" s="113"/>
      <c r="G403" s="113"/>
      <c r="H403" s="113"/>
      <c r="I403" s="77">
        <f t="shared" si="22"/>
        <v>2574</v>
      </c>
      <c r="J403" s="167"/>
      <c r="K403" s="212">
        <f t="shared" si="20"/>
        <v>2574</v>
      </c>
      <c r="L403" s="78"/>
    </row>
    <row r="404" spans="1:12" ht="15" customHeight="1">
      <c r="A404" s="73"/>
      <c r="B404" s="83" t="s">
        <v>169</v>
      </c>
      <c r="C404" s="77"/>
      <c r="D404" s="77"/>
      <c r="E404" s="77">
        <v>6500</v>
      </c>
      <c r="F404" s="113"/>
      <c r="G404" s="113"/>
      <c r="H404" s="113"/>
      <c r="I404" s="77">
        <f t="shared" si="22"/>
        <v>6500</v>
      </c>
      <c r="J404" s="167"/>
      <c r="K404" s="212">
        <f t="shared" si="20"/>
        <v>6500</v>
      </c>
      <c r="L404" s="78"/>
    </row>
    <row r="405" spans="1:12" ht="19.5" customHeight="1">
      <c r="A405" s="73"/>
      <c r="B405" s="83" t="s">
        <v>552</v>
      </c>
      <c r="C405" s="77"/>
      <c r="D405" s="77"/>
      <c r="E405" s="77">
        <v>1600</v>
      </c>
      <c r="F405" s="113"/>
      <c r="G405" s="113"/>
      <c r="H405" s="113"/>
      <c r="I405" s="77">
        <f t="shared" si="22"/>
        <v>1600</v>
      </c>
      <c r="J405" s="167"/>
      <c r="K405" s="212">
        <f t="shared" si="20"/>
        <v>1600</v>
      </c>
      <c r="L405" s="78"/>
    </row>
    <row r="406" spans="1:12" ht="15" customHeight="1">
      <c r="A406" s="73"/>
      <c r="B406" s="83" t="s">
        <v>110</v>
      </c>
      <c r="C406" s="77"/>
      <c r="D406" s="77"/>
      <c r="E406" s="77">
        <v>2430</v>
      </c>
      <c r="F406" s="113"/>
      <c r="G406" s="113"/>
      <c r="H406" s="113"/>
      <c r="I406" s="77">
        <f t="shared" si="22"/>
        <v>2430</v>
      </c>
      <c r="J406" s="167"/>
      <c r="K406" s="212">
        <f t="shared" si="20"/>
        <v>2430</v>
      </c>
      <c r="L406" s="78"/>
    </row>
    <row r="407" spans="1:12" ht="15" customHeight="1">
      <c r="A407" s="73"/>
      <c r="B407" s="83" t="s">
        <v>105</v>
      </c>
      <c r="C407" s="77"/>
      <c r="D407" s="77"/>
      <c r="E407" s="77">
        <v>5440</v>
      </c>
      <c r="F407" s="113"/>
      <c r="G407" s="113"/>
      <c r="H407" s="113"/>
      <c r="I407" s="77">
        <f t="shared" si="22"/>
        <v>5440</v>
      </c>
      <c r="J407" s="167"/>
      <c r="K407" s="212">
        <f t="shared" si="20"/>
        <v>5440</v>
      </c>
      <c r="L407" s="78"/>
    </row>
    <row r="408" spans="1:12" ht="15" customHeight="1">
      <c r="A408" s="73"/>
      <c r="B408" s="83" t="s">
        <v>113</v>
      </c>
      <c r="C408" s="77"/>
      <c r="D408" s="77"/>
      <c r="E408" s="77">
        <v>3000</v>
      </c>
      <c r="F408" s="113"/>
      <c r="G408" s="113"/>
      <c r="H408" s="113"/>
      <c r="I408" s="77">
        <f t="shared" si="22"/>
        <v>3000</v>
      </c>
      <c r="J408" s="167"/>
      <c r="K408" s="212">
        <f t="shared" si="20"/>
        <v>3000</v>
      </c>
      <c r="L408" s="78"/>
    </row>
    <row r="409" spans="1:12" ht="21" customHeight="1">
      <c r="A409" s="73"/>
      <c r="B409" s="83" t="s">
        <v>567</v>
      </c>
      <c r="C409" s="77"/>
      <c r="D409" s="77"/>
      <c r="E409" s="77">
        <v>5300</v>
      </c>
      <c r="F409" s="113"/>
      <c r="G409" s="113"/>
      <c r="H409" s="113"/>
      <c r="I409" s="77">
        <f t="shared" si="22"/>
        <v>5300</v>
      </c>
      <c r="J409" s="167"/>
      <c r="K409" s="212">
        <f t="shared" si="20"/>
        <v>5300</v>
      </c>
      <c r="L409" s="78"/>
    </row>
    <row r="410" spans="1:12" ht="15.75">
      <c r="A410" s="73"/>
      <c r="B410" s="83" t="s">
        <v>384</v>
      </c>
      <c r="C410" s="77"/>
      <c r="D410" s="77"/>
      <c r="E410" s="70">
        <v>1640</v>
      </c>
      <c r="F410" s="115"/>
      <c r="G410" s="113"/>
      <c r="H410" s="113"/>
      <c r="I410" s="77">
        <f t="shared" si="22"/>
        <v>1640</v>
      </c>
      <c r="J410" s="167"/>
      <c r="K410" s="212">
        <f t="shared" si="20"/>
        <v>1640</v>
      </c>
      <c r="L410" s="78"/>
    </row>
    <row r="411" spans="1:12" ht="15.75">
      <c r="A411" s="73"/>
      <c r="B411" s="84" t="s">
        <v>80</v>
      </c>
      <c r="C411" s="77"/>
      <c r="D411" s="77"/>
      <c r="E411" s="77">
        <v>1500</v>
      </c>
      <c r="F411" s="113"/>
      <c r="G411" s="113"/>
      <c r="H411" s="113"/>
      <c r="I411" s="77">
        <f t="shared" si="22"/>
        <v>1500</v>
      </c>
      <c r="J411" s="167"/>
      <c r="K411" s="212">
        <f t="shared" si="20"/>
        <v>1500</v>
      </c>
      <c r="L411" s="78"/>
    </row>
    <row r="412" spans="1:12" ht="15.75">
      <c r="A412" s="73"/>
      <c r="B412" s="82" t="s">
        <v>81</v>
      </c>
      <c r="C412" s="77"/>
      <c r="D412" s="77"/>
      <c r="E412" s="77">
        <v>1650</v>
      </c>
      <c r="F412" s="113"/>
      <c r="G412" s="113"/>
      <c r="H412" s="113"/>
      <c r="I412" s="77">
        <f t="shared" si="22"/>
        <v>1650</v>
      </c>
      <c r="J412" s="167"/>
      <c r="K412" s="212">
        <f t="shared" si="20"/>
        <v>1650</v>
      </c>
      <c r="L412" s="78"/>
    </row>
    <row r="413" spans="1:12" ht="63">
      <c r="A413" s="74" t="s">
        <v>462</v>
      </c>
      <c r="B413" s="75" t="s">
        <v>463</v>
      </c>
      <c r="C413" s="76"/>
      <c r="D413" s="76"/>
      <c r="E413" s="76">
        <f>E414</f>
        <v>5000</v>
      </c>
      <c r="F413" s="112"/>
      <c r="G413" s="113"/>
      <c r="H413" s="112">
        <f>H414+H416</f>
        <v>23084</v>
      </c>
      <c r="I413" s="76">
        <f>E413</f>
        <v>5000</v>
      </c>
      <c r="J413" s="196">
        <f>H413</f>
        <v>23084</v>
      </c>
      <c r="K413" s="212">
        <f t="shared" si="20"/>
        <v>28084</v>
      </c>
      <c r="L413" s="78"/>
    </row>
    <row r="414" spans="1:12" ht="31.5">
      <c r="A414" s="74" t="s">
        <v>464</v>
      </c>
      <c r="B414" s="75" t="s">
        <v>465</v>
      </c>
      <c r="C414" s="76"/>
      <c r="D414" s="76"/>
      <c r="E414" s="76">
        <f>SUM(E415:E415)</f>
        <v>5000</v>
      </c>
      <c r="F414" s="112"/>
      <c r="G414" s="112"/>
      <c r="H414" s="112"/>
      <c r="I414" s="76">
        <f t="shared" si="22"/>
        <v>5000</v>
      </c>
      <c r="J414" s="167"/>
      <c r="K414" s="212">
        <f t="shared" si="20"/>
        <v>5000</v>
      </c>
      <c r="L414" s="78"/>
    </row>
    <row r="415" spans="1:12" ht="15.75">
      <c r="A415" s="73"/>
      <c r="B415" s="82" t="s">
        <v>537</v>
      </c>
      <c r="C415" s="77"/>
      <c r="D415" s="77"/>
      <c r="E415" s="77">
        <v>5000</v>
      </c>
      <c r="F415" s="113"/>
      <c r="G415" s="113"/>
      <c r="H415" s="113"/>
      <c r="I415" s="77">
        <f t="shared" si="22"/>
        <v>5000</v>
      </c>
      <c r="J415" s="167"/>
      <c r="K415" s="212">
        <f t="shared" si="20"/>
        <v>5000</v>
      </c>
      <c r="L415" s="78"/>
    </row>
    <row r="416" spans="1:12" ht="15.75">
      <c r="A416" s="74" t="s">
        <v>774</v>
      </c>
      <c r="B416" s="106" t="s">
        <v>775</v>
      </c>
      <c r="C416" s="77"/>
      <c r="D416" s="77"/>
      <c r="E416" s="77">
        <f>E418</f>
        <v>0</v>
      </c>
      <c r="F416" s="77"/>
      <c r="G416" s="77"/>
      <c r="H416" s="76">
        <f>H418+H417</f>
        <v>23084</v>
      </c>
      <c r="I416" s="77">
        <f t="shared" si="22"/>
        <v>0</v>
      </c>
      <c r="J416" s="196">
        <f>H416</f>
        <v>23084</v>
      </c>
      <c r="K416" s="212">
        <f t="shared" si="20"/>
        <v>23084</v>
      </c>
      <c r="L416" s="78"/>
    </row>
    <row r="417" spans="1:12" ht="31.5">
      <c r="A417" s="73" t="s">
        <v>773</v>
      </c>
      <c r="B417" s="82" t="s">
        <v>800</v>
      </c>
      <c r="C417" s="77"/>
      <c r="D417" s="77"/>
      <c r="E417" s="77"/>
      <c r="F417" s="77"/>
      <c r="G417" s="77"/>
      <c r="H417" s="221">
        <v>19584</v>
      </c>
      <c r="I417" s="77"/>
      <c r="J417" s="195">
        <f>H417</f>
        <v>19584</v>
      </c>
      <c r="K417" s="212">
        <f t="shared" si="20"/>
        <v>19584</v>
      </c>
      <c r="L417" s="78"/>
    </row>
    <row r="418" spans="1:12" ht="47.25">
      <c r="A418" s="73"/>
      <c r="B418" s="82" t="s">
        <v>801</v>
      </c>
      <c r="C418" s="77"/>
      <c r="D418" s="77"/>
      <c r="E418" s="77"/>
      <c r="F418" s="77"/>
      <c r="G418" s="77"/>
      <c r="H418" s="221">
        <v>3500</v>
      </c>
      <c r="I418" s="77"/>
      <c r="J418" s="195">
        <f>H418</f>
        <v>3500</v>
      </c>
      <c r="K418" s="212">
        <f>I418+J418</f>
        <v>3500</v>
      </c>
      <c r="L418" s="78"/>
    </row>
    <row r="420" spans="2:2" ht="18.75">
      <c r="B420" s="87" t="s">
        <v>811</v>
      </c>
    </row>
  </sheetData>
  <mergeCells count="7">
    <mergeCell ref="K15:K16"/>
    <mergeCell ref="A13:K13"/>
    <mergeCell ref="A15:A16"/>
    <mergeCell ref="B15:B16"/>
    <mergeCell ref="I15:I16"/>
    <mergeCell ref="C15:G15"/>
    <mergeCell ref="J15:J16"/>
  </mergeCells>
  <pageMargins left="0.7" right="0.7" top="0.75" bottom="0.75" header="0.3" footer="0.3"/>
  <pageSetup orientation="portrait" paperSize="9" scale="4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339"/>
  <sheetViews>
    <sheetView workbookViewId="0" topLeftCell="A1">
      <selection pane="topLeft" activeCell="E9" sqref="E9"/>
    </sheetView>
  </sheetViews>
  <sheetFormatPr defaultRowHeight="15.75"/>
  <cols>
    <col min="1" max="1" width="14.4285714285714" customWidth="1"/>
    <col min="2" max="2" width="38.8571428571429" style="98" customWidth="1"/>
    <col min="3" max="3" width="18.2857142857143" style="156" customWidth="1"/>
    <col min="4" max="4" width="18.5714285714286" style="88" customWidth="1"/>
    <col min="5" max="5" width="15.7142857142857" style="88" customWidth="1"/>
    <col min="6" max="6" width="18.2857142857143" style="88" customWidth="1"/>
    <col min="7" max="7" width="17.2857142857143" style="88" customWidth="1"/>
    <col min="8" max="8" width="17.7142857142857" style="88" customWidth="1"/>
    <col min="9" max="9" width="10.4285714285714" customWidth="1"/>
    <col min="10" max="10" width="10.1428571428571" bestFit="1" customWidth="1"/>
  </cols>
  <sheetData>
    <row r="2" spans="8:8" ht="15.75">
      <c r="H2" s="201" t="s">
        <v>183</v>
      </c>
    </row>
    <row r="3" spans="8:8" ht="15.75">
      <c r="H3" s="19" t="s">
        <v>612</v>
      </c>
    </row>
    <row r="4" spans="8:8" ht="15.75">
      <c r="H4" s="19" t="s">
        <v>815</v>
      </c>
    </row>
    <row r="5" spans="8:8" ht="15.75">
      <c r="H5" s="19" t="s">
        <v>763</v>
      </c>
    </row>
    <row r="6" spans="1:8" ht="20.25" customHeight="1">
      <c r="A6" s="20"/>
      <c r="B6" s="139"/>
      <c r="C6" s="91"/>
      <c r="D6" s="91"/>
      <c r="E6" s="91"/>
      <c r="F6" s="91"/>
      <c r="G6" s="91"/>
      <c r="H6" s="19" t="s">
        <v>623</v>
      </c>
    </row>
    <row r="7" spans="1:8" ht="16.5" customHeight="1">
      <c r="A7" s="20"/>
      <c r="B7" s="139"/>
      <c r="C7" s="91"/>
      <c r="D7" s="91"/>
      <c r="E7" s="91"/>
      <c r="F7" s="91"/>
      <c r="G7" s="91"/>
      <c r="H7" s="89" t="s">
        <v>183</v>
      </c>
    </row>
    <row r="8" spans="1:8" ht="15" customHeight="1">
      <c r="A8" s="20"/>
      <c r="B8" s="139"/>
      <c r="C8" s="91"/>
      <c r="D8" s="91"/>
      <c r="E8" s="91"/>
      <c r="F8" s="91"/>
      <c r="G8" s="91"/>
      <c r="H8" s="90" t="s">
        <v>612</v>
      </c>
    </row>
    <row r="9" spans="1:8" ht="15" customHeight="1">
      <c r="A9" s="20"/>
      <c r="B9" s="139"/>
      <c r="C9" s="91"/>
      <c r="D9" s="91"/>
      <c r="E9" s="91"/>
      <c r="F9" s="91"/>
      <c r="G9" s="91"/>
      <c r="H9" s="90" t="s">
        <v>757</v>
      </c>
    </row>
    <row r="10" spans="1:8" ht="15" customHeight="1">
      <c r="A10" s="20"/>
      <c r="B10" s="139"/>
      <c r="C10" s="91"/>
      <c r="D10" s="91"/>
      <c r="E10" s="91"/>
      <c r="F10" s="91"/>
      <c r="G10" s="91"/>
      <c r="H10" s="90" t="s">
        <v>623</v>
      </c>
    </row>
    <row r="11" spans="1:8" ht="15" customHeight="1">
      <c r="A11" s="19"/>
      <c r="B11" s="111"/>
      <c r="C11" s="111"/>
      <c r="D11" s="111"/>
      <c r="E11" s="111"/>
      <c r="F11" s="111"/>
      <c r="G11" s="111"/>
      <c r="H11" s="91"/>
    </row>
    <row r="12" spans="1:8" ht="15" customHeight="1">
      <c r="A12" s="20"/>
      <c r="B12" s="132"/>
      <c r="C12" s="132" t="s">
        <v>646</v>
      </c>
      <c r="D12" s="132"/>
      <c r="E12" s="132"/>
      <c r="F12" s="132"/>
      <c r="G12" s="132"/>
      <c r="H12" s="91"/>
    </row>
    <row r="13" spans="1:8" ht="15" customHeight="1">
      <c r="A13" s="20"/>
      <c r="B13" s="140"/>
      <c r="C13" s="149"/>
      <c r="D13" s="133"/>
      <c r="E13" s="133"/>
      <c r="F13" s="133"/>
      <c r="G13" s="133"/>
      <c r="H13" s="92"/>
    </row>
    <row r="14" spans="1:8" ht="15" customHeight="1">
      <c r="A14" s="5" t="s">
        <v>184</v>
      </c>
      <c r="B14" s="8" t="s">
        <v>185</v>
      </c>
      <c r="C14" s="150"/>
      <c r="D14" s="151" t="s">
        <v>186</v>
      </c>
      <c r="E14" s="134"/>
      <c r="F14" s="134"/>
      <c r="G14" s="152"/>
      <c r="H14" s="7" t="s">
        <v>187</v>
      </c>
    </row>
    <row r="15" spans="1:8" ht="45" customHeight="1">
      <c r="A15" s="4"/>
      <c r="B15" s="8"/>
      <c r="C15" s="135" t="s">
        <v>536</v>
      </c>
      <c r="D15" s="135" t="s">
        <v>188</v>
      </c>
      <c r="E15" s="135" t="s">
        <v>189</v>
      </c>
      <c r="F15" s="135" t="s">
        <v>190</v>
      </c>
      <c r="G15" s="135" t="s">
        <v>191</v>
      </c>
      <c r="H15" s="6"/>
    </row>
    <row r="16" spans="1:10" ht="15" customHeight="1">
      <c r="A16" s="18"/>
      <c r="B16" s="16"/>
      <c r="C16" s="136">
        <f t="shared" si="0" ref="C16:H16">C17+C32+C36+C96+C167+C178+C229+C299+C73</f>
        <v>912526.77</v>
      </c>
      <c r="D16" s="136">
        <f t="shared" si="0"/>
        <v>21406663.010000002</v>
      </c>
      <c r="E16" s="136">
        <f t="shared" si="0"/>
        <v>5202362</v>
      </c>
      <c r="F16" s="136">
        <f t="shared" si="0"/>
        <v>10421386</v>
      </c>
      <c r="G16" s="242">
        <f t="shared" si="0"/>
        <v>1284993</v>
      </c>
      <c r="H16" s="189">
        <f t="shared" si="0"/>
        <v>39310482.780000001</v>
      </c>
      <c r="I16" s="117"/>
      <c r="J16" s="110"/>
    </row>
    <row r="17" spans="1:9" ht="15" customHeight="1">
      <c r="A17" s="17" t="s">
        <v>192</v>
      </c>
      <c r="B17" s="74" t="s">
        <v>193</v>
      </c>
      <c r="C17" s="94">
        <f t="shared" si="1" ref="C17:G17">SUM(C18:C31)</f>
        <v>21.68</v>
      </c>
      <c r="D17" s="94">
        <f t="shared" si="1"/>
        <v>3533219.32</v>
      </c>
      <c r="E17" s="94">
        <f t="shared" si="1"/>
        <v>8850</v>
      </c>
      <c r="F17" s="94">
        <f t="shared" si="1"/>
        <v>47600</v>
      </c>
      <c r="G17" s="94">
        <f t="shared" si="1"/>
        <v>0</v>
      </c>
      <c r="H17" s="243">
        <f>SUM(H18:H31)</f>
        <v>3589691</v>
      </c>
      <c r="I17" s="59"/>
    </row>
    <row r="18" spans="1:9" ht="15" customHeight="1">
      <c r="A18" s="51"/>
      <c r="B18" s="73" t="s">
        <v>1</v>
      </c>
      <c r="C18" s="147"/>
      <c r="D18" s="70">
        <f t="shared" si="2" ref="D18:D31">H18-E18-G18-F18-C18</f>
        <v>1521395</v>
      </c>
      <c r="E18" s="70"/>
      <c r="F18" s="70"/>
      <c r="G18" s="70"/>
      <c r="H18" s="189">
        <f>'4.pielikums'!B19</f>
        <v>1521395</v>
      </c>
      <c r="I18" s="59"/>
    </row>
    <row r="19" spans="1:9" ht="15" customHeight="1">
      <c r="A19" s="51"/>
      <c r="B19" s="73" t="s">
        <v>2</v>
      </c>
      <c r="C19" s="147"/>
      <c r="D19" s="70">
        <f t="shared" si="2"/>
        <v>127701</v>
      </c>
      <c r="E19" s="70"/>
      <c r="F19" s="70"/>
      <c r="G19" s="70"/>
      <c r="H19" s="189">
        <f>'4.pielikums'!B21</f>
        <v>127701</v>
      </c>
      <c r="I19" s="59"/>
    </row>
    <row r="20" spans="1:9" ht="30" customHeight="1">
      <c r="A20" s="51"/>
      <c r="B20" s="72" t="s">
        <v>118</v>
      </c>
      <c r="C20" s="146"/>
      <c r="D20" s="70">
        <f t="shared" si="2"/>
        <v>236349</v>
      </c>
      <c r="E20" s="70"/>
      <c r="F20" s="70"/>
      <c r="G20" s="70"/>
      <c r="H20" s="189">
        <f>'4.pielikums'!B22</f>
        <v>236349</v>
      </c>
      <c r="I20" s="59"/>
    </row>
    <row r="21" spans="1:9" ht="15" customHeight="1">
      <c r="A21" s="51"/>
      <c r="B21" s="72" t="s">
        <v>149</v>
      </c>
      <c r="C21" s="146"/>
      <c r="D21" s="70">
        <f t="shared" si="2"/>
        <v>26000</v>
      </c>
      <c r="E21" s="70"/>
      <c r="F21" s="70"/>
      <c r="G21" s="70"/>
      <c r="H21" s="189">
        <f>'4.pielikums'!B23</f>
        <v>26000</v>
      </c>
      <c r="I21" s="59"/>
    </row>
    <row r="22" spans="1:9" ht="31.5" customHeight="1">
      <c r="A22" s="51"/>
      <c r="B22" s="72" t="s">
        <v>711</v>
      </c>
      <c r="C22" s="146"/>
      <c r="D22" s="70">
        <f t="shared" si="2"/>
        <v>100000</v>
      </c>
      <c r="E22" s="70"/>
      <c r="F22" s="70"/>
      <c r="G22" s="70"/>
      <c r="H22" s="189">
        <f>'4.pielikums'!C24</f>
        <v>100000</v>
      </c>
      <c r="I22" s="59"/>
    </row>
    <row r="23" spans="1:9" ht="15" customHeight="1">
      <c r="A23" s="51"/>
      <c r="B23" s="72" t="s">
        <v>640</v>
      </c>
      <c r="C23" s="146"/>
      <c r="D23" s="70">
        <f t="shared" si="2"/>
        <v>136744</v>
      </c>
      <c r="E23" s="70"/>
      <c r="F23" s="70"/>
      <c r="G23" s="70"/>
      <c r="H23" s="189">
        <f>'4.pielikums'!B27</f>
        <v>136744</v>
      </c>
      <c r="I23" s="59"/>
    </row>
    <row r="24" spans="1:10" ht="15" customHeight="1">
      <c r="A24" s="51"/>
      <c r="B24" s="73" t="s">
        <v>641</v>
      </c>
      <c r="C24" s="147"/>
      <c r="D24" s="70">
        <f t="shared" si="2"/>
        <v>109815</v>
      </c>
      <c r="E24" s="70"/>
      <c r="F24" s="70"/>
      <c r="G24" s="70"/>
      <c r="H24" s="189">
        <f>'4.pielikums'!B28</f>
        <v>109815</v>
      </c>
      <c r="I24" s="59"/>
      <c r="J24" s="59"/>
    </row>
    <row r="25" spans="1:9" ht="15" customHeight="1">
      <c r="A25" s="51"/>
      <c r="B25" s="72" t="s">
        <v>644</v>
      </c>
      <c r="C25" s="146"/>
      <c r="D25" s="70">
        <f t="shared" si="2"/>
        <v>93037</v>
      </c>
      <c r="E25" s="70"/>
      <c r="F25" s="70"/>
      <c r="G25" s="70"/>
      <c r="H25" s="189">
        <f>'4.pielikums'!B30</f>
        <v>93037</v>
      </c>
      <c r="I25" s="59"/>
    </row>
    <row r="26" spans="1:9" ht="15" customHeight="1">
      <c r="A26" s="51"/>
      <c r="B26" s="72" t="s">
        <v>643</v>
      </c>
      <c r="C26" s="146"/>
      <c r="D26" s="70">
        <f t="shared" si="2"/>
        <v>134355</v>
      </c>
      <c r="E26" s="70"/>
      <c r="F26" s="70"/>
      <c r="G26" s="70"/>
      <c r="H26" s="189">
        <f>'4.pielikums'!B31</f>
        <v>134355</v>
      </c>
      <c r="I26" s="59"/>
    </row>
    <row r="27" spans="1:9" ht="30" customHeight="1">
      <c r="A27" s="51"/>
      <c r="B27" s="72" t="s">
        <v>75</v>
      </c>
      <c r="C27" s="146"/>
      <c r="D27" s="70">
        <f t="shared" si="2"/>
        <v>66234</v>
      </c>
      <c r="E27" s="70">
        <v>8850</v>
      </c>
      <c r="F27" s="70">
        <f>26000+21600</f>
        <v>47600</v>
      </c>
      <c r="G27" s="70"/>
      <c r="H27" s="189">
        <f>'4.pielikums'!B32</f>
        <v>122684</v>
      </c>
      <c r="I27" s="59"/>
    </row>
    <row r="28" spans="1:9" ht="30" customHeight="1">
      <c r="A28" s="51"/>
      <c r="B28" s="72" t="s">
        <v>121</v>
      </c>
      <c r="C28" s="146">
        <v>21.68</v>
      </c>
      <c r="D28" s="70">
        <f t="shared" si="2"/>
        <v>806457.32</v>
      </c>
      <c r="E28" s="70"/>
      <c r="F28" s="70"/>
      <c r="G28" s="70"/>
      <c r="H28" s="189">
        <f>'4.pielikums'!B36</f>
        <v>806479</v>
      </c>
      <c r="I28" s="59"/>
    </row>
    <row r="29" spans="1:9" ht="15" customHeight="1">
      <c r="A29" s="51"/>
      <c r="B29" s="72" t="s">
        <v>3</v>
      </c>
      <c r="C29" s="146"/>
      <c r="D29" s="70">
        <f t="shared" si="2"/>
        <v>2000</v>
      </c>
      <c r="E29" s="70"/>
      <c r="F29" s="70"/>
      <c r="G29" s="70"/>
      <c r="H29" s="189">
        <f>'4.pielikums'!B33</f>
        <v>2000</v>
      </c>
      <c r="I29" s="59"/>
    </row>
    <row r="30" spans="1:9" ht="15" customHeight="1">
      <c r="A30" s="51"/>
      <c r="B30" s="73" t="s">
        <v>4</v>
      </c>
      <c r="C30" s="147"/>
      <c r="D30" s="70">
        <f t="shared" si="2"/>
        <v>48584</v>
      </c>
      <c r="E30" s="70"/>
      <c r="F30" s="70"/>
      <c r="G30" s="70"/>
      <c r="H30" s="189">
        <f>'4.pielikums'!B35</f>
        <v>48584</v>
      </c>
      <c r="I30" s="59"/>
    </row>
    <row r="31" spans="1:9" ht="15" customHeight="1">
      <c r="A31" s="51"/>
      <c r="B31" s="73" t="s">
        <v>607</v>
      </c>
      <c r="C31" s="147"/>
      <c r="D31" s="70">
        <f t="shared" si="2"/>
        <v>124548</v>
      </c>
      <c r="E31" s="70"/>
      <c r="F31" s="70"/>
      <c r="G31" s="70"/>
      <c r="H31" s="189">
        <f>'4.pielikums'!B25</f>
        <v>124548</v>
      </c>
      <c r="I31" s="59"/>
    </row>
    <row r="32" spans="1:9" ht="15" customHeight="1">
      <c r="A32" s="17" t="s">
        <v>194</v>
      </c>
      <c r="B32" s="75" t="s">
        <v>195</v>
      </c>
      <c r="C32" s="94">
        <f t="shared" si="3" ref="C32:H32">SUM(C33:C35)</f>
        <v>0</v>
      </c>
      <c r="D32" s="94">
        <f t="shared" si="3"/>
        <v>310305</v>
      </c>
      <c r="E32" s="94">
        <f t="shared" si="3"/>
        <v>31550</v>
      </c>
      <c r="F32" s="94">
        <f t="shared" si="3"/>
        <v>0</v>
      </c>
      <c r="G32" s="94">
        <f t="shared" si="3"/>
        <v>57764</v>
      </c>
      <c r="H32" s="189">
        <f t="shared" si="3"/>
        <v>399619</v>
      </c>
      <c r="I32" s="59"/>
    </row>
    <row r="33" spans="1:9" ht="15" customHeight="1">
      <c r="A33" s="54"/>
      <c r="B33" s="73" t="s">
        <v>5</v>
      </c>
      <c r="C33" s="147"/>
      <c r="D33" s="70">
        <f>H33-E33-G33-F33-C33</f>
        <v>79719</v>
      </c>
      <c r="E33" s="70">
        <v>4550</v>
      </c>
      <c r="F33" s="70"/>
      <c r="G33" s="70"/>
      <c r="H33" s="189">
        <f>'4.pielikums'!B37</f>
        <v>84269</v>
      </c>
      <c r="I33" s="59"/>
    </row>
    <row r="34" spans="1:9" ht="15" customHeight="1">
      <c r="A34" s="51"/>
      <c r="B34" s="73" t="s">
        <v>6</v>
      </c>
      <c r="C34" s="147"/>
      <c r="D34" s="70">
        <f>H34-E34-G34-F34-C34</f>
        <v>187017</v>
      </c>
      <c r="E34" s="70">
        <v>2000</v>
      </c>
      <c r="F34" s="70"/>
      <c r="G34" s="70">
        <v>57764</v>
      </c>
      <c r="H34" s="189">
        <f>'4.pielikums'!B39</f>
        <v>246781</v>
      </c>
      <c r="I34" s="59"/>
    </row>
    <row r="35" spans="1:9" ht="15" customHeight="1">
      <c r="A35" s="51"/>
      <c r="B35" s="73" t="s">
        <v>44</v>
      </c>
      <c r="C35" s="147"/>
      <c r="D35" s="70">
        <f>H35-E35-G35-F35-C35</f>
        <v>43569</v>
      </c>
      <c r="E35" s="70">
        <v>25000</v>
      </c>
      <c r="F35" s="70"/>
      <c r="G35" s="70"/>
      <c r="H35" s="189">
        <f>'4.pielikums'!B40</f>
        <v>68569</v>
      </c>
      <c r="I35" s="59"/>
    </row>
    <row r="36" spans="1:9" ht="15" customHeight="1">
      <c r="A36" s="17" t="s">
        <v>196</v>
      </c>
      <c r="B36" s="74" t="s">
        <v>197</v>
      </c>
      <c r="C36" s="137">
        <f t="shared" si="4" ref="C36:G36">SUM(C37:C70)</f>
        <v>662675.64</v>
      </c>
      <c r="D36" s="137">
        <f t="shared" si="4"/>
        <v>324357.14</v>
      </c>
      <c r="E36" s="137">
        <f t="shared" si="4"/>
        <v>7100</v>
      </c>
      <c r="F36" s="137">
        <f t="shared" si="4"/>
        <v>2812850</v>
      </c>
      <c r="G36" s="137">
        <f t="shared" si="4"/>
        <v>641395</v>
      </c>
      <c r="H36" s="189">
        <f>SUM(H37:H72)</f>
        <v>4458886.78</v>
      </c>
      <c r="I36" s="59"/>
    </row>
    <row r="37" spans="1:9" ht="15" customHeight="1">
      <c r="A37" s="54"/>
      <c r="B37" s="73" t="s">
        <v>198</v>
      </c>
      <c r="C37" s="147"/>
      <c r="D37" s="70">
        <f t="shared" si="5" ref="D37:D72">H37-E37-G37-F37-C37</f>
        <v>56003</v>
      </c>
      <c r="E37" s="70">
        <v>3100</v>
      </c>
      <c r="F37" s="70"/>
      <c r="G37" s="70"/>
      <c r="H37" s="189">
        <f>'4.pielikums'!B41</f>
        <v>59103</v>
      </c>
      <c r="I37" s="59"/>
    </row>
    <row r="38" spans="1:9" ht="30" customHeight="1">
      <c r="A38" s="51"/>
      <c r="B38" s="72" t="s">
        <v>199</v>
      </c>
      <c r="C38" s="146"/>
      <c r="D38" s="70">
        <f t="shared" si="5"/>
        <v>84627</v>
      </c>
      <c r="E38" s="70">
        <v>4000</v>
      </c>
      <c r="F38" s="71"/>
      <c r="G38" s="70"/>
      <c r="H38" s="189">
        <f>'4.pielikums'!B45</f>
        <v>88627</v>
      </c>
      <c r="I38" s="59"/>
    </row>
    <row r="39" spans="1:9" ht="23.25" customHeight="1">
      <c r="A39" s="51"/>
      <c r="B39" s="72" t="s">
        <v>84</v>
      </c>
      <c r="C39" s="159">
        <v>766</v>
      </c>
      <c r="D39" s="70">
        <f t="shared" si="5"/>
        <v>282.77999999999884</v>
      </c>
      <c r="E39" s="70"/>
      <c r="F39" s="77">
        <v>66300</v>
      </c>
      <c r="G39" s="70"/>
      <c r="H39" s="189">
        <f>'4.pielikums'!B71</f>
        <v>67348.78</v>
      </c>
      <c r="I39" s="59"/>
    </row>
    <row r="40" spans="1:10" ht="15" customHeight="1">
      <c r="A40" s="55"/>
      <c r="B40" s="109" t="s">
        <v>51</v>
      </c>
      <c r="C40" s="146">
        <v>0</v>
      </c>
      <c r="D40" s="70">
        <f t="shared" si="5"/>
        <v>0</v>
      </c>
      <c r="E40" s="70"/>
      <c r="F40" s="70">
        <f>112482+10381</f>
        <v>122863</v>
      </c>
      <c r="G40" s="70"/>
      <c r="H40" s="189">
        <f>'4.pielikums'!B47</f>
        <v>122863</v>
      </c>
      <c r="I40" s="59"/>
      <c r="J40" s="64"/>
    </row>
    <row r="41" spans="1:9" ht="30" customHeight="1">
      <c r="A41" s="55"/>
      <c r="B41" s="109" t="s">
        <v>158</v>
      </c>
      <c r="C41" s="146">
        <v>25557</v>
      </c>
      <c r="D41" s="70">
        <f t="shared" si="5"/>
        <v>0</v>
      </c>
      <c r="E41" s="70"/>
      <c r="F41" s="70">
        <f>49493+5008</f>
        <v>54501</v>
      </c>
      <c r="G41" s="70"/>
      <c r="H41" s="189">
        <f>'4.pielikums'!B48</f>
        <v>80058</v>
      </c>
      <c r="I41" s="59"/>
    </row>
    <row r="42" spans="1:9" ht="30" customHeight="1">
      <c r="A42" s="55"/>
      <c r="B42" s="109" t="s">
        <v>52</v>
      </c>
      <c r="C42" s="116">
        <v>7403</v>
      </c>
      <c r="D42" s="70">
        <f t="shared" si="5"/>
        <v>0</v>
      </c>
      <c r="E42" s="70"/>
      <c r="F42" s="70">
        <v>29090</v>
      </c>
      <c r="G42" s="70"/>
      <c r="H42" s="189">
        <f>'4.pielikums'!B49</f>
        <v>36493</v>
      </c>
      <c r="I42" s="59"/>
    </row>
    <row r="43" spans="1:9" ht="30" customHeight="1">
      <c r="A43" s="55"/>
      <c r="B43" s="109" t="s">
        <v>53</v>
      </c>
      <c r="C43" s="116">
        <v>0</v>
      </c>
      <c r="D43" s="70">
        <f t="shared" si="5"/>
        <v>0</v>
      </c>
      <c r="E43" s="70"/>
      <c r="F43" s="70">
        <v>22019</v>
      </c>
      <c r="G43" s="70"/>
      <c r="H43" s="189">
        <f>'4.pielikums'!B50</f>
        <v>22019</v>
      </c>
      <c r="I43" s="59"/>
    </row>
    <row r="44" spans="1:9" ht="30" customHeight="1">
      <c r="A44" s="55"/>
      <c r="B44" s="109" t="s">
        <v>54</v>
      </c>
      <c r="C44" s="116">
        <v>19107</v>
      </c>
      <c r="D44" s="70">
        <f t="shared" si="5"/>
        <v>0</v>
      </c>
      <c r="E44" s="70"/>
      <c r="F44" s="70">
        <v>41360</v>
      </c>
      <c r="G44" s="70"/>
      <c r="H44" s="189">
        <f>'4.pielikums'!B51</f>
        <v>60467</v>
      </c>
      <c r="I44" s="59"/>
    </row>
    <row r="45" spans="1:9" ht="30" customHeight="1">
      <c r="A45" s="55"/>
      <c r="B45" s="109" t="s">
        <v>55</v>
      </c>
      <c r="C45" s="116">
        <v>21445.75</v>
      </c>
      <c r="D45" s="70">
        <f t="shared" si="5"/>
        <v>0.25</v>
      </c>
      <c r="E45" s="70"/>
      <c r="F45" s="70">
        <v>23802</v>
      </c>
      <c r="G45" s="70"/>
      <c r="H45" s="189">
        <f>'4.pielikums'!B53</f>
        <v>45248</v>
      </c>
      <c r="I45" s="59"/>
    </row>
    <row r="46" spans="1:9" ht="30" customHeight="1">
      <c r="A46" s="55"/>
      <c r="B46" s="109" t="s">
        <v>56</v>
      </c>
      <c r="C46" s="116">
        <v>12679.69</v>
      </c>
      <c r="D46" s="70">
        <f t="shared" si="5"/>
        <v>0.30999999999949068</v>
      </c>
      <c r="E46" s="70"/>
      <c r="F46" s="70">
        <v>12640</v>
      </c>
      <c r="G46" s="70"/>
      <c r="H46" s="189">
        <f>'4.pielikums'!B54</f>
        <v>25320</v>
      </c>
      <c r="I46" s="59"/>
    </row>
    <row r="47" spans="1:9" ht="30" customHeight="1">
      <c r="A47" s="55"/>
      <c r="B47" s="109" t="s">
        <v>57</v>
      </c>
      <c r="C47" s="116">
        <v>0</v>
      </c>
      <c r="D47" s="70">
        <f t="shared" si="5"/>
        <v>0</v>
      </c>
      <c r="E47" s="70"/>
      <c r="F47" s="70">
        <v>42398</v>
      </c>
      <c r="G47" s="70"/>
      <c r="H47" s="189">
        <f>'4.pielikums'!B56</f>
        <v>42398</v>
      </c>
      <c r="I47" s="59"/>
    </row>
    <row r="48" spans="1:9" ht="30" customHeight="1">
      <c r="A48" s="55"/>
      <c r="B48" s="109" t="s">
        <v>156</v>
      </c>
      <c r="C48" s="116">
        <v>14192</v>
      </c>
      <c r="D48" s="70">
        <f t="shared" si="5"/>
        <v>0</v>
      </c>
      <c r="E48" s="70"/>
      <c r="F48" s="70">
        <v>8740</v>
      </c>
      <c r="G48" s="70"/>
      <c r="H48" s="189">
        <f>'4.pielikums'!B57</f>
        <v>22932</v>
      </c>
      <c r="I48" s="59"/>
    </row>
    <row r="49" spans="1:9" ht="30" customHeight="1">
      <c r="A49" s="55"/>
      <c r="B49" s="109" t="s">
        <v>58</v>
      </c>
      <c r="C49" s="116">
        <v>1942</v>
      </c>
      <c r="D49" s="70">
        <f t="shared" si="5"/>
        <v>0</v>
      </c>
      <c r="E49" s="70"/>
      <c r="F49" s="70">
        <v>15158</v>
      </c>
      <c r="G49" s="70"/>
      <c r="H49" s="189">
        <f>'4.pielikums'!B58</f>
        <v>17100</v>
      </c>
      <c r="I49" s="59"/>
    </row>
    <row r="50" spans="1:9" ht="30" customHeight="1">
      <c r="A50" s="55"/>
      <c r="B50" s="109" t="s">
        <v>154</v>
      </c>
      <c r="C50" s="116">
        <v>20824</v>
      </c>
      <c r="D50" s="70">
        <f t="shared" si="5"/>
        <v>0</v>
      </c>
      <c r="E50" s="70"/>
      <c r="F50" s="70">
        <f>58624+28735</f>
        <v>87359</v>
      </c>
      <c r="G50" s="70"/>
      <c r="H50" s="189">
        <f>'4.pielikums'!B59</f>
        <v>108183</v>
      </c>
      <c r="I50" s="59"/>
    </row>
    <row r="51" spans="1:9" ht="30" customHeight="1">
      <c r="A51" s="55"/>
      <c r="B51" s="109" t="s">
        <v>155</v>
      </c>
      <c r="C51" s="116">
        <v>10524</v>
      </c>
      <c r="D51" s="70">
        <f t="shared" si="5"/>
        <v>0</v>
      </c>
      <c r="E51" s="70"/>
      <c r="F51" s="70">
        <v>34163</v>
      </c>
      <c r="G51" s="70"/>
      <c r="H51" s="189">
        <f>'4.pielikums'!B60</f>
        <v>44687</v>
      </c>
      <c r="I51" s="59"/>
    </row>
    <row r="52" spans="1:9" ht="30" customHeight="1">
      <c r="A52" s="55"/>
      <c r="B52" s="109" t="s">
        <v>157</v>
      </c>
      <c r="C52" s="116">
        <v>157656</v>
      </c>
      <c r="D52" s="70">
        <f t="shared" si="5"/>
        <v>0</v>
      </c>
      <c r="E52" s="70"/>
      <c r="F52" s="70">
        <f>76483+28656</f>
        <v>105139</v>
      </c>
      <c r="G52" s="70"/>
      <c r="H52" s="189">
        <f>'4.pielikums'!B61</f>
        <v>262795</v>
      </c>
      <c r="I52" s="59"/>
    </row>
    <row r="53" spans="1:9" ht="30" customHeight="1">
      <c r="A53" s="55"/>
      <c r="B53" s="109" t="s">
        <v>159</v>
      </c>
      <c r="C53" s="116">
        <v>40533</v>
      </c>
      <c r="D53" s="70">
        <f t="shared" si="5"/>
        <v>0</v>
      </c>
      <c r="E53" s="70"/>
      <c r="F53" s="70">
        <v>30499</v>
      </c>
      <c r="G53" s="70"/>
      <c r="H53" s="189">
        <f>'4.pielikums'!B62</f>
        <v>71032</v>
      </c>
      <c r="I53" s="59"/>
    </row>
    <row r="54" spans="1:9" ht="30" customHeight="1">
      <c r="A54" s="55"/>
      <c r="B54" s="109" t="s">
        <v>160</v>
      </c>
      <c r="C54" s="116">
        <v>39429.199999999997</v>
      </c>
      <c r="D54" s="70">
        <f t="shared" si="5"/>
        <v>-0.19999999999708962</v>
      </c>
      <c r="E54" s="70"/>
      <c r="F54" s="70">
        <v>49288</v>
      </c>
      <c r="G54" s="70"/>
      <c r="H54" s="189">
        <f>'4.pielikums'!B63</f>
        <v>88717</v>
      </c>
      <c r="I54" s="59"/>
    </row>
    <row r="55" spans="1:9" ht="30" customHeight="1">
      <c r="A55" s="55"/>
      <c r="B55" s="109" t="s">
        <v>59</v>
      </c>
      <c r="C55" s="116">
        <v>11416</v>
      </c>
      <c r="D55" s="70">
        <f t="shared" si="5"/>
        <v>0</v>
      </c>
      <c r="E55" s="70"/>
      <c r="F55" s="70">
        <v>35143</v>
      </c>
      <c r="G55" s="70"/>
      <c r="H55" s="189">
        <f>'4.pielikums'!B64</f>
        <v>46559</v>
      </c>
      <c r="I55" s="59"/>
    </row>
    <row r="56" spans="1:9" ht="30" customHeight="1">
      <c r="A56" s="55"/>
      <c r="B56" s="109" t="s">
        <v>60</v>
      </c>
      <c r="C56" s="116">
        <v>12149</v>
      </c>
      <c r="D56" s="70">
        <f t="shared" si="5"/>
        <v>0</v>
      </c>
      <c r="E56" s="70"/>
      <c r="F56" s="70">
        <v>12095</v>
      </c>
      <c r="G56" s="70"/>
      <c r="H56" s="189">
        <f>'4.pielikums'!B65</f>
        <v>24244</v>
      </c>
      <c r="I56" s="59"/>
    </row>
    <row r="57" spans="1:9" ht="30" customHeight="1">
      <c r="A57" s="55"/>
      <c r="B57" s="109" t="s">
        <v>163</v>
      </c>
      <c r="C57" s="146">
        <v>19955</v>
      </c>
      <c r="D57" s="70">
        <f t="shared" si="5"/>
        <v>0</v>
      </c>
      <c r="E57" s="70"/>
      <c r="F57" s="70">
        <v>25728</v>
      </c>
      <c r="G57" s="70"/>
      <c r="H57" s="189">
        <f>'4.pielikums'!B66</f>
        <v>45683</v>
      </c>
      <c r="I57" s="59"/>
    </row>
    <row r="58" spans="1:9" ht="30" customHeight="1">
      <c r="A58" s="55"/>
      <c r="B58" s="109" t="s">
        <v>61</v>
      </c>
      <c r="C58" s="116">
        <v>15738</v>
      </c>
      <c r="D58" s="70">
        <f t="shared" si="5"/>
        <v>0</v>
      </c>
      <c r="E58" s="70"/>
      <c r="F58" s="70">
        <v>22643</v>
      </c>
      <c r="G58" s="70"/>
      <c r="H58" s="189">
        <f>'4.pielikums'!B67</f>
        <v>38381</v>
      </c>
      <c r="I58" s="59"/>
    </row>
    <row r="59" spans="1:9" ht="30" customHeight="1">
      <c r="A59" s="55"/>
      <c r="B59" s="109" t="s">
        <v>161</v>
      </c>
      <c r="C59" s="116">
        <v>679</v>
      </c>
      <c r="D59" s="70">
        <f t="shared" si="5"/>
        <v>0</v>
      </c>
      <c r="E59" s="70"/>
      <c r="F59" s="70">
        <v>9353</v>
      </c>
      <c r="G59" s="70"/>
      <c r="H59" s="189">
        <f>'4.pielikums'!B68</f>
        <v>10032</v>
      </c>
      <c r="I59" s="59"/>
    </row>
    <row r="60" spans="1:10" ht="30" customHeight="1">
      <c r="A60" s="55"/>
      <c r="B60" s="109" t="s">
        <v>162</v>
      </c>
      <c r="C60" s="146">
        <v>0</v>
      </c>
      <c r="D60" s="70">
        <f t="shared" si="5"/>
        <v>0</v>
      </c>
      <c r="E60" s="70"/>
      <c r="F60" s="70">
        <v>28166</v>
      </c>
      <c r="G60" s="70"/>
      <c r="H60" s="189">
        <f>'4.pielikums'!B69</f>
        <v>28166</v>
      </c>
      <c r="I60" s="59"/>
      <c r="J60" s="59"/>
    </row>
    <row r="61" spans="1:11" ht="30" customHeight="1">
      <c r="A61" s="55"/>
      <c r="B61" s="141" t="s">
        <v>563</v>
      </c>
      <c r="C61" s="146">
        <v>178795</v>
      </c>
      <c r="D61" s="70">
        <f t="shared" si="5"/>
        <v>0</v>
      </c>
      <c r="E61" s="70"/>
      <c r="F61" s="70">
        <v>191362</v>
      </c>
      <c r="G61" s="70"/>
      <c r="H61" s="189">
        <f>'4.pielikums'!B70</f>
        <v>370157</v>
      </c>
      <c r="I61" s="59"/>
      <c r="J61" s="59"/>
      <c r="K61" s="59"/>
    </row>
    <row r="62" spans="1:9" ht="30" customHeight="1">
      <c r="A62" s="51"/>
      <c r="B62" s="72" t="s">
        <v>46</v>
      </c>
      <c r="C62" s="146"/>
      <c r="D62" s="70">
        <f t="shared" si="5"/>
        <v>3444</v>
      </c>
      <c r="E62" s="70"/>
      <c r="F62" s="70"/>
      <c r="G62" s="70"/>
      <c r="H62" s="189">
        <f>'4.pielikums'!B43</f>
        <v>3444</v>
      </c>
      <c r="I62" s="59"/>
    </row>
    <row r="63" spans="1:9" ht="15" customHeight="1">
      <c r="A63" s="51"/>
      <c r="B63" s="72" t="s">
        <v>8</v>
      </c>
      <c r="C63" s="146"/>
      <c r="D63" s="70">
        <f t="shared" si="5"/>
        <v>100000</v>
      </c>
      <c r="E63" s="70"/>
      <c r="F63" s="70"/>
      <c r="G63" s="70"/>
      <c r="H63" s="189">
        <f>'4.pielikums'!B42</f>
        <v>100000</v>
      </c>
      <c r="I63" s="59"/>
    </row>
    <row r="64" spans="1:9" ht="18" customHeight="1">
      <c r="A64" s="51"/>
      <c r="B64" s="72" t="s">
        <v>200</v>
      </c>
      <c r="C64" s="146"/>
      <c r="D64" s="70">
        <f t="shared" si="5"/>
        <v>50000</v>
      </c>
      <c r="E64" s="70"/>
      <c r="F64" s="70"/>
      <c r="G64" s="70"/>
      <c r="H64" s="189">
        <f>'4.pielikums'!B46</f>
        <v>50000</v>
      </c>
      <c r="I64" s="59"/>
    </row>
    <row r="65" spans="1:9" ht="33" customHeight="1">
      <c r="A65" s="51"/>
      <c r="B65" s="185" t="s">
        <v>605</v>
      </c>
      <c r="C65" s="159"/>
      <c r="D65" s="186">
        <f t="shared" si="5"/>
        <v>0</v>
      </c>
      <c r="E65" s="186"/>
      <c r="F65" s="186">
        <v>12000</v>
      </c>
      <c r="G65" s="70"/>
      <c r="H65" s="189">
        <f>'4.pielikums'!B309</f>
        <v>12000</v>
      </c>
      <c r="I65" s="59"/>
    </row>
    <row r="66" spans="1:9" ht="42.75" customHeight="1">
      <c r="A66" s="53"/>
      <c r="B66" s="142" t="s">
        <v>710</v>
      </c>
      <c r="C66" s="188"/>
      <c r="D66" s="186">
        <f t="shared" si="5"/>
        <v>0</v>
      </c>
      <c r="E66" s="186"/>
      <c r="F66" s="186">
        <v>260434</v>
      </c>
      <c r="G66" s="70">
        <v>201262</v>
      </c>
      <c r="H66" s="189">
        <f>'4.pielikums'!B72</f>
        <v>461696</v>
      </c>
      <c r="I66" s="59"/>
    </row>
    <row r="67" spans="1:9" ht="23.45" customHeight="1">
      <c r="A67" s="53"/>
      <c r="B67" s="187" t="s">
        <v>618</v>
      </c>
      <c r="C67" s="188"/>
      <c r="D67" s="186">
        <f t="shared" si="5"/>
        <v>30000</v>
      </c>
      <c r="E67" s="186"/>
      <c r="F67" s="186"/>
      <c r="G67" s="70"/>
      <c r="H67" s="189">
        <f>'4.pielikums'!B313</f>
        <v>30000</v>
      </c>
      <c r="I67" s="59"/>
    </row>
    <row r="68" spans="1:9" ht="55.5" customHeight="1">
      <c r="A68" s="53"/>
      <c r="B68" s="142" t="s">
        <v>664</v>
      </c>
      <c r="C68" s="116">
        <v>51885</v>
      </c>
      <c r="D68" s="70">
        <f t="shared" si="5"/>
        <v>0</v>
      </c>
      <c r="E68" s="70"/>
      <c r="F68" s="70"/>
      <c r="G68" s="70"/>
      <c r="H68" s="189">
        <f>'4.pielikums'!B325</f>
        <v>51885</v>
      </c>
      <c r="I68" s="59"/>
    </row>
    <row r="69" spans="1:9" ht="65.45" customHeight="1">
      <c r="A69" s="53"/>
      <c r="B69" s="142" t="s">
        <v>648</v>
      </c>
      <c r="C69" s="116"/>
      <c r="D69" s="70">
        <f t="shared" si="5"/>
        <v>0</v>
      </c>
      <c r="E69" s="70"/>
      <c r="F69" s="70">
        <v>227396</v>
      </c>
      <c r="G69" s="70">
        <v>69853</v>
      </c>
      <c r="H69" s="189">
        <f>'4.pielikums'!B321</f>
        <v>297249</v>
      </c>
      <c r="I69" s="59"/>
    </row>
    <row r="70" spans="1:9" ht="54" customHeight="1">
      <c r="A70" s="53"/>
      <c r="B70" s="142" t="s">
        <v>649</v>
      </c>
      <c r="C70" s="116"/>
      <c r="D70" s="70">
        <f t="shared" si="5"/>
        <v>0</v>
      </c>
      <c r="E70" s="70"/>
      <c r="F70" s="70">
        <v>1243211</v>
      </c>
      <c r="G70" s="70">
        <v>370280</v>
      </c>
      <c r="H70" s="189">
        <f>'4.pielikums'!B322</f>
        <v>1613491</v>
      </c>
      <c r="I70" s="59"/>
    </row>
    <row r="71" spans="1:9" ht="41.25" customHeight="1">
      <c r="A71" s="53"/>
      <c r="B71" s="223" t="s">
        <v>794</v>
      </c>
      <c r="C71" s="116"/>
      <c r="D71" s="70">
        <f t="shared" si="5"/>
        <v>1625</v>
      </c>
      <c r="E71" s="70"/>
      <c r="F71" s="70"/>
      <c r="G71" s="70"/>
      <c r="H71" s="189">
        <f>'4.pielikums'!B336</f>
        <v>1625</v>
      </c>
      <c r="I71" s="59"/>
    </row>
    <row r="72" spans="1:9" ht="53.25" customHeight="1">
      <c r="A72" s="53"/>
      <c r="B72" s="223" t="s">
        <v>777</v>
      </c>
      <c r="C72" s="116"/>
      <c r="D72" s="70">
        <f t="shared" si="5"/>
        <v>8884</v>
      </c>
      <c r="E72" s="70"/>
      <c r="F72" s="70"/>
      <c r="G72" s="70"/>
      <c r="H72" s="189">
        <f>'4.pielikums'!B339</f>
        <v>8884</v>
      </c>
      <c r="I72" s="59"/>
    </row>
    <row r="73" spans="1:9" ht="15" customHeight="1">
      <c r="A73" s="17" t="s">
        <v>201</v>
      </c>
      <c r="B73" s="75" t="s">
        <v>202</v>
      </c>
      <c r="C73" s="94">
        <f t="shared" si="6" ref="C73:G73">SUM(C74:C95)</f>
        <v>50658.94</v>
      </c>
      <c r="D73" s="94">
        <f t="shared" si="6"/>
        <v>86173.06</v>
      </c>
      <c r="E73" s="94">
        <f t="shared" si="6"/>
        <v>105843</v>
      </c>
      <c r="F73" s="94">
        <f t="shared" si="6"/>
        <v>0</v>
      </c>
      <c r="G73" s="94">
        <f t="shared" si="6"/>
        <v>0</v>
      </c>
      <c r="H73" s="189">
        <f>SUM(H74:H95)</f>
        <v>242675</v>
      </c>
      <c r="I73" s="59"/>
    </row>
    <row r="74" spans="1:9" ht="30" customHeight="1">
      <c r="A74" s="51"/>
      <c r="B74" s="72" t="s">
        <v>62</v>
      </c>
      <c r="C74" s="146">
        <v>50658.94</v>
      </c>
      <c r="D74" s="70">
        <f t="shared" si="7" ref="D74:D95">H74-E74-G74-F74-C74</f>
        <v>50000.06</v>
      </c>
      <c r="E74" s="70"/>
      <c r="F74" s="70"/>
      <c r="G74" s="70"/>
      <c r="H74" s="189">
        <f>'4.pielikums'!B73</f>
        <v>100659</v>
      </c>
      <c r="I74" s="59"/>
    </row>
    <row r="75" spans="1:9" ht="30" customHeight="1">
      <c r="A75" s="51"/>
      <c r="B75" s="143" t="s">
        <v>251</v>
      </c>
      <c r="C75" s="146"/>
      <c r="D75" s="70">
        <f t="shared" si="7"/>
        <v>0</v>
      </c>
      <c r="E75" s="70">
        <v>7456</v>
      </c>
      <c r="F75" s="70"/>
      <c r="G75" s="70"/>
      <c r="H75" s="189">
        <f>'4.pielikums'!B74</f>
        <v>7456</v>
      </c>
      <c r="I75" s="59"/>
    </row>
    <row r="76" spans="1:9" s="58" customFormat="1" ht="30" customHeight="1">
      <c r="A76" s="63"/>
      <c r="B76" s="143" t="s">
        <v>555</v>
      </c>
      <c r="C76" s="116"/>
      <c r="D76" s="70">
        <f t="shared" si="7"/>
        <v>716</v>
      </c>
      <c r="E76" s="70">
        <v>2845</v>
      </c>
      <c r="F76" s="77"/>
      <c r="G76" s="77"/>
      <c r="H76" s="179">
        <f>'4.pielikums'!B75</f>
        <v>3561</v>
      </c>
      <c r="I76" s="59"/>
    </row>
    <row r="77" spans="1:9" ht="30" customHeight="1">
      <c r="A77" s="51"/>
      <c r="B77" s="79" t="s">
        <v>179</v>
      </c>
      <c r="C77" s="146"/>
      <c r="D77" s="70">
        <f t="shared" si="7"/>
        <v>0</v>
      </c>
      <c r="E77" s="70">
        <v>5646</v>
      </c>
      <c r="F77" s="70"/>
      <c r="G77" s="70"/>
      <c r="H77" s="189">
        <f>'4.pielikums'!B77</f>
        <v>5646</v>
      </c>
      <c r="I77" s="59"/>
    </row>
    <row r="78" spans="1:9" s="58" customFormat="1" ht="30" customHeight="1">
      <c r="A78" s="63"/>
      <c r="B78" s="143" t="s">
        <v>556</v>
      </c>
      <c r="C78" s="116"/>
      <c r="D78" s="70">
        <f t="shared" si="7"/>
        <v>2894</v>
      </c>
      <c r="E78" s="77">
        <v>2995</v>
      </c>
      <c r="F78" s="77"/>
      <c r="G78" s="77"/>
      <c r="H78" s="179">
        <f>'4.pielikums'!B78</f>
        <v>5889</v>
      </c>
      <c r="I78" s="59"/>
    </row>
    <row r="79" spans="1:9" ht="30" customHeight="1">
      <c r="A79" s="51"/>
      <c r="B79" s="79" t="s">
        <v>177</v>
      </c>
      <c r="C79" s="146"/>
      <c r="D79" s="70">
        <f t="shared" si="7"/>
        <v>1630</v>
      </c>
      <c r="E79" s="70">
        <v>2350</v>
      </c>
      <c r="F79" s="70"/>
      <c r="G79" s="70"/>
      <c r="H79" s="189">
        <f>'4.pielikums'!B79</f>
        <v>3980</v>
      </c>
      <c r="I79" s="59"/>
    </row>
    <row r="80" spans="1:9" ht="30" customHeight="1">
      <c r="A80" s="51"/>
      <c r="B80" s="79" t="s">
        <v>178</v>
      </c>
      <c r="C80" s="146"/>
      <c r="D80" s="70">
        <f t="shared" si="7"/>
        <v>0</v>
      </c>
      <c r="E80" s="70">
        <v>8580</v>
      </c>
      <c r="F80" s="70"/>
      <c r="G80" s="70"/>
      <c r="H80" s="189">
        <f>'4.pielikums'!B81</f>
        <v>8580</v>
      </c>
      <c r="I80" s="59"/>
    </row>
    <row r="81" spans="1:9" ht="30" customHeight="1">
      <c r="A81" s="51"/>
      <c r="B81" s="79" t="s">
        <v>89</v>
      </c>
      <c r="C81" s="146"/>
      <c r="D81" s="70">
        <f t="shared" si="7"/>
        <v>0</v>
      </c>
      <c r="E81" s="70">
        <v>5700</v>
      </c>
      <c r="F81" s="70"/>
      <c r="G81" s="70"/>
      <c r="H81" s="189">
        <f>'4.pielikums'!B82</f>
        <v>5700</v>
      </c>
      <c r="I81" s="59"/>
    </row>
    <row r="82" spans="1:9" ht="30" customHeight="1">
      <c r="A82" s="51"/>
      <c r="B82" s="109" t="s">
        <v>252</v>
      </c>
      <c r="C82" s="146"/>
      <c r="D82" s="70">
        <f t="shared" si="7"/>
        <v>0</v>
      </c>
      <c r="E82" s="70">
        <v>9130</v>
      </c>
      <c r="F82" s="70"/>
      <c r="G82" s="70"/>
      <c r="H82" s="189">
        <f>'4.pielikums'!B83</f>
        <v>9130</v>
      </c>
      <c r="I82" s="59"/>
    </row>
    <row r="83" spans="1:9" s="58" customFormat="1" ht="30" customHeight="1">
      <c r="A83" s="63"/>
      <c r="B83" s="109" t="s">
        <v>557</v>
      </c>
      <c r="C83" s="116"/>
      <c r="D83" s="70">
        <f t="shared" si="7"/>
        <v>2081</v>
      </c>
      <c r="E83" s="77">
        <v>989</v>
      </c>
      <c r="F83" s="77"/>
      <c r="G83" s="77"/>
      <c r="H83" s="179">
        <f>'4.pielikums'!B84</f>
        <v>3070</v>
      </c>
      <c r="I83" s="59"/>
    </row>
    <row r="84" spans="1:9" ht="30" customHeight="1">
      <c r="A84" s="51"/>
      <c r="B84" s="79" t="s">
        <v>86</v>
      </c>
      <c r="C84" s="146"/>
      <c r="D84" s="70">
        <f t="shared" si="7"/>
        <v>186</v>
      </c>
      <c r="E84" s="77">
        <v>6900</v>
      </c>
      <c r="F84" s="70"/>
      <c r="G84" s="70"/>
      <c r="H84" s="189">
        <f>'4.pielikums'!B85</f>
        <v>7086</v>
      </c>
      <c r="I84" s="59"/>
    </row>
    <row r="85" spans="1:9" ht="30" customHeight="1">
      <c r="A85" s="51"/>
      <c r="B85" s="79" t="s">
        <v>88</v>
      </c>
      <c r="C85" s="146"/>
      <c r="D85" s="70">
        <f t="shared" si="7"/>
        <v>0</v>
      </c>
      <c r="E85" s="70">
        <v>2410</v>
      </c>
      <c r="F85" s="70"/>
      <c r="G85" s="70"/>
      <c r="H85" s="189">
        <f>'4.pielikums'!B86</f>
        <v>2410</v>
      </c>
      <c r="I85" s="59"/>
    </row>
    <row r="86" spans="1:9" ht="30" customHeight="1">
      <c r="A86" s="51"/>
      <c r="B86" s="109" t="s">
        <v>250</v>
      </c>
      <c r="C86" s="116"/>
      <c r="D86" s="70">
        <f t="shared" si="7"/>
        <v>2603</v>
      </c>
      <c r="E86" s="70">
        <v>5367</v>
      </c>
      <c r="F86" s="70"/>
      <c r="G86" s="70"/>
      <c r="H86" s="189">
        <f>'4.pielikums'!B87</f>
        <v>7970</v>
      </c>
      <c r="I86" s="59"/>
    </row>
    <row r="87" spans="1:9" ht="30" customHeight="1">
      <c r="A87" s="51"/>
      <c r="B87" s="79" t="s">
        <v>180</v>
      </c>
      <c r="C87" s="146"/>
      <c r="D87" s="70">
        <f t="shared" si="7"/>
        <v>4118</v>
      </c>
      <c r="E87" s="70">
        <v>5400</v>
      </c>
      <c r="F87" s="70"/>
      <c r="G87" s="70"/>
      <c r="H87" s="189">
        <f>'4.pielikums'!B88</f>
        <v>9518</v>
      </c>
      <c r="I87" s="59"/>
    </row>
    <row r="88" spans="1:9" ht="30" customHeight="1">
      <c r="A88" s="51"/>
      <c r="B88" s="79" t="s">
        <v>87</v>
      </c>
      <c r="C88" s="146"/>
      <c r="D88" s="70">
        <f t="shared" si="7"/>
        <v>0</v>
      </c>
      <c r="E88" s="70">
        <v>410</v>
      </c>
      <c r="F88" s="70"/>
      <c r="G88" s="70"/>
      <c r="H88" s="189">
        <f>'4.pielikums'!B89</f>
        <v>410</v>
      </c>
      <c r="I88" s="59"/>
    </row>
    <row r="89" spans="1:9" ht="30" customHeight="1">
      <c r="A89" s="51"/>
      <c r="B89" s="79" t="s">
        <v>90</v>
      </c>
      <c r="C89" s="146"/>
      <c r="D89" s="70">
        <f t="shared" si="7"/>
        <v>648</v>
      </c>
      <c r="E89" s="70">
        <v>2100</v>
      </c>
      <c r="F89" s="70"/>
      <c r="G89" s="70"/>
      <c r="H89" s="189">
        <f>'4.pielikums'!B90</f>
        <v>2748</v>
      </c>
      <c r="I89" s="59"/>
    </row>
    <row r="90" spans="1:9" ht="30" customHeight="1">
      <c r="A90" s="51"/>
      <c r="B90" s="79" t="s">
        <v>152</v>
      </c>
      <c r="C90" s="146"/>
      <c r="D90" s="70">
        <f t="shared" si="7"/>
        <v>0</v>
      </c>
      <c r="E90" s="70">
        <v>19600</v>
      </c>
      <c r="F90" s="70"/>
      <c r="G90" s="70"/>
      <c r="H90" s="189">
        <f>'4.pielikums'!B91</f>
        <v>19600</v>
      </c>
      <c r="I90" s="59"/>
    </row>
    <row r="91" spans="1:9" s="58" customFormat="1" ht="30" customHeight="1">
      <c r="A91" s="63"/>
      <c r="B91" s="79" t="s">
        <v>558</v>
      </c>
      <c r="C91" s="116"/>
      <c r="D91" s="70">
        <f t="shared" si="7"/>
        <v>0</v>
      </c>
      <c r="E91" s="77">
        <v>6665</v>
      </c>
      <c r="F91" s="77"/>
      <c r="G91" s="77"/>
      <c r="H91" s="179">
        <f>'4.pielikums'!B92</f>
        <v>6665</v>
      </c>
      <c r="I91" s="59"/>
    </row>
    <row r="92" spans="1:9" ht="30" customHeight="1">
      <c r="A92" s="51"/>
      <c r="B92" s="79" t="s">
        <v>91</v>
      </c>
      <c r="C92" s="146"/>
      <c r="D92" s="70">
        <f t="shared" si="7"/>
        <v>0</v>
      </c>
      <c r="E92" s="70">
        <v>9500</v>
      </c>
      <c r="F92" s="70"/>
      <c r="G92" s="70"/>
      <c r="H92" s="189">
        <f>'4.pielikums'!B93</f>
        <v>9500</v>
      </c>
      <c r="I92" s="59"/>
    </row>
    <row r="93" spans="1:9" ht="30" customHeight="1">
      <c r="A93" s="51"/>
      <c r="B93" s="79" t="s">
        <v>85</v>
      </c>
      <c r="C93" s="146"/>
      <c r="D93" s="70">
        <f t="shared" si="7"/>
        <v>3432</v>
      </c>
      <c r="E93" s="70">
        <v>1800</v>
      </c>
      <c r="F93" s="70"/>
      <c r="G93" s="70"/>
      <c r="H93" s="189">
        <f>'4.pielikums'!B94</f>
        <v>5232</v>
      </c>
      <c r="I93" s="59"/>
    </row>
    <row r="94" spans="1:9" ht="38.25" customHeight="1">
      <c r="A94" s="51"/>
      <c r="B94" s="79" t="s">
        <v>570</v>
      </c>
      <c r="C94" s="146"/>
      <c r="D94" s="70">
        <f t="shared" si="7"/>
        <v>7865</v>
      </c>
      <c r="E94" s="70"/>
      <c r="F94" s="70"/>
      <c r="G94" s="70"/>
      <c r="H94" s="189">
        <f>'4.pielikums'!B305</f>
        <v>7865</v>
      </c>
      <c r="I94" s="59"/>
    </row>
    <row r="95" spans="1:9" ht="51" customHeight="1">
      <c r="A95" s="51"/>
      <c r="B95" s="162" t="s">
        <v>650</v>
      </c>
      <c r="C95" s="146"/>
      <c r="D95" s="70">
        <f t="shared" si="7"/>
        <v>10000</v>
      </c>
      <c r="E95" s="70"/>
      <c r="F95" s="70"/>
      <c r="G95" s="70"/>
      <c r="H95" s="189">
        <f>'4.pielikums'!B324</f>
        <v>10000</v>
      </c>
      <c r="I95" s="59"/>
    </row>
    <row r="96" spans="1:9" ht="44.25" customHeight="1">
      <c r="A96" s="56" t="s">
        <v>203</v>
      </c>
      <c r="B96" s="75" t="s">
        <v>204</v>
      </c>
      <c r="C96" s="94">
        <f t="shared" si="8" ref="C96:G96">C97+C100</f>
        <v>0</v>
      </c>
      <c r="D96" s="94">
        <f t="shared" si="8"/>
        <v>3334696</v>
      </c>
      <c r="E96" s="94">
        <f t="shared" si="8"/>
        <v>2329961</v>
      </c>
      <c r="F96" s="94">
        <f t="shared" si="8"/>
        <v>232655</v>
      </c>
      <c r="G96" s="94">
        <f t="shared" si="8"/>
        <v>134294</v>
      </c>
      <c r="H96" s="189">
        <f>H97+H100</f>
        <v>6072184</v>
      </c>
      <c r="I96" s="59"/>
    </row>
    <row r="97" spans="1:9" ht="15" customHeight="1">
      <c r="A97" s="54"/>
      <c r="B97" s="74" t="s">
        <v>205</v>
      </c>
      <c r="C97" s="94">
        <f t="shared" si="9" ref="C97:G97">SUM(C98:C99)</f>
        <v>0</v>
      </c>
      <c r="D97" s="94">
        <f t="shared" si="9"/>
        <v>133076</v>
      </c>
      <c r="E97" s="94">
        <f t="shared" si="9"/>
        <v>0</v>
      </c>
      <c r="F97" s="94">
        <f t="shared" si="9"/>
        <v>0</v>
      </c>
      <c r="G97" s="94">
        <f t="shared" si="9"/>
        <v>0</v>
      </c>
      <c r="H97" s="189">
        <f>SUM(H98:H99)</f>
        <v>133076</v>
      </c>
      <c r="I97" s="59"/>
    </row>
    <row r="98" spans="1:9" ht="15" customHeight="1">
      <c r="A98" s="17"/>
      <c r="B98" s="73" t="s">
        <v>9</v>
      </c>
      <c r="C98" s="147"/>
      <c r="D98" s="70">
        <f>H98-E98-G98-F98-C98</f>
        <v>119842</v>
      </c>
      <c r="E98" s="70"/>
      <c r="F98" s="70"/>
      <c r="G98" s="70"/>
      <c r="H98" s="189">
        <f>'4.pielikums'!B95</f>
        <v>119842</v>
      </c>
      <c r="I98" s="59"/>
    </row>
    <row r="99" spans="1:9" ht="15" customHeight="1">
      <c r="A99" s="17"/>
      <c r="B99" s="167" t="s">
        <v>655</v>
      </c>
      <c r="C99" s="147"/>
      <c r="D99" s="70">
        <f>H99-E99-G99-F99-C99</f>
        <v>13234</v>
      </c>
      <c r="E99" s="70"/>
      <c r="F99" s="70"/>
      <c r="G99" s="70"/>
      <c r="H99" s="189">
        <f>'4.pielikums'!B96</f>
        <v>13234</v>
      </c>
      <c r="I99" s="59"/>
    </row>
    <row r="100" spans="1:9" ht="31.5">
      <c r="A100" s="51"/>
      <c r="B100" s="75" t="s">
        <v>206</v>
      </c>
      <c r="C100" s="94">
        <f>SUM(C101:C157)</f>
        <v>0</v>
      </c>
      <c r="D100" s="94">
        <f>SUM(D101:D161)</f>
        <v>3201620</v>
      </c>
      <c r="E100" s="94">
        <f>SUM(E101:E160)</f>
        <v>2329961</v>
      </c>
      <c r="F100" s="94">
        <f>SUM(F101:F160)</f>
        <v>232655</v>
      </c>
      <c r="G100" s="94">
        <f>SUM(G101:G166)</f>
        <v>134294</v>
      </c>
      <c r="H100" s="189">
        <f>SUM(H101:H166)</f>
        <v>5939108</v>
      </c>
      <c r="I100" s="59"/>
    </row>
    <row r="101" spans="1:9" s="58" customFormat="1" ht="15" customHeight="1">
      <c r="A101" s="66"/>
      <c r="B101" s="72" t="s">
        <v>127</v>
      </c>
      <c r="C101" s="116"/>
      <c r="D101" s="77">
        <f t="shared" si="10" ref="D101:D132">H101-E101-G101-F101-C101</f>
        <v>91585</v>
      </c>
      <c r="E101" s="77">
        <v>21000</v>
      </c>
      <c r="F101" s="77"/>
      <c r="G101" s="77"/>
      <c r="H101" s="179">
        <f>'4.pielikums'!B97</f>
        <v>112585</v>
      </c>
      <c r="I101" s="59"/>
    </row>
    <row r="102" spans="1:9" s="58" customFormat="1" ht="15" customHeight="1">
      <c r="A102" s="66"/>
      <c r="B102" s="72" t="s">
        <v>131</v>
      </c>
      <c r="C102" s="116"/>
      <c r="D102" s="77">
        <f t="shared" si="10"/>
        <v>58549</v>
      </c>
      <c r="E102" s="77"/>
      <c r="F102" s="77"/>
      <c r="G102" s="77"/>
      <c r="H102" s="179">
        <f>'4.pielikums'!B98</f>
        <v>58549</v>
      </c>
      <c r="I102" s="59"/>
    </row>
    <row r="103" spans="1:9" s="58" customFormat="1" ht="30.75" customHeight="1">
      <c r="A103" s="66"/>
      <c r="B103" s="72" t="s">
        <v>739</v>
      </c>
      <c r="C103" s="116"/>
      <c r="D103" s="77">
        <f t="shared" si="10"/>
        <v>100000</v>
      </c>
      <c r="E103" s="77"/>
      <c r="F103" s="77"/>
      <c r="G103" s="77"/>
      <c r="H103" s="179">
        <f>'4.pielikums'!B99</f>
        <v>100000</v>
      </c>
      <c r="I103" s="59"/>
    </row>
    <row r="104" spans="1:9" s="58" customFormat="1" ht="17.25" customHeight="1">
      <c r="A104" s="66"/>
      <c r="B104" s="72" t="s">
        <v>628</v>
      </c>
      <c r="C104" s="116"/>
      <c r="D104" s="77">
        <f t="shared" si="10"/>
        <v>489063</v>
      </c>
      <c r="E104" s="77"/>
      <c r="F104" s="77"/>
      <c r="G104" s="77"/>
      <c r="H104" s="179">
        <f>'4.pielikums'!B132</f>
        <v>489063</v>
      </c>
      <c r="I104" s="59"/>
    </row>
    <row r="105" spans="1:9" s="58" customFormat="1" ht="29.25" customHeight="1">
      <c r="A105" s="66"/>
      <c r="B105" s="72" t="s">
        <v>120</v>
      </c>
      <c r="C105" s="116"/>
      <c r="D105" s="77">
        <f t="shared" si="10"/>
        <v>65437</v>
      </c>
      <c r="E105" s="77">
        <v>17000</v>
      </c>
      <c r="F105" s="77"/>
      <c r="G105" s="77"/>
      <c r="H105" s="179">
        <f>'4.pielikums'!B131</f>
        <v>82437</v>
      </c>
      <c r="I105" s="59"/>
    </row>
    <row r="106" spans="1:9" ht="15" customHeight="1">
      <c r="A106" s="51"/>
      <c r="B106" s="229" t="s">
        <v>208</v>
      </c>
      <c r="C106" s="147"/>
      <c r="D106" s="70">
        <f t="shared" si="10"/>
        <v>39701</v>
      </c>
      <c r="E106" s="70">
        <f>242485+347328+269692+907713+13566</f>
        <v>1780784</v>
      </c>
      <c r="F106" s="70"/>
      <c r="G106" s="70"/>
      <c r="H106" s="189">
        <f>'4.pielikums'!B129</f>
        <v>1820485</v>
      </c>
      <c r="I106" s="59"/>
    </row>
    <row r="107" spans="1:9" ht="21.75" customHeight="1">
      <c r="A107" s="53"/>
      <c r="B107" s="72" t="s">
        <v>10</v>
      </c>
      <c r="C107" s="146"/>
      <c r="D107" s="70">
        <f t="shared" si="10"/>
        <v>40972</v>
      </c>
      <c r="E107" s="70">
        <f>420+100</f>
        <v>520</v>
      </c>
      <c r="F107" s="70"/>
      <c r="G107" s="70"/>
      <c r="H107" s="189">
        <f>'4.pielikums'!B100</f>
        <v>41492</v>
      </c>
      <c r="I107" s="59"/>
    </row>
    <row r="108" spans="1:9" ht="21.75" customHeight="1">
      <c r="A108" s="53"/>
      <c r="B108" s="72" t="s">
        <v>660</v>
      </c>
      <c r="C108" s="146"/>
      <c r="D108" s="70">
        <f t="shared" si="10"/>
        <v>157395</v>
      </c>
      <c r="E108" s="70">
        <f>623+495</f>
        <v>1118</v>
      </c>
      <c r="F108" s="70"/>
      <c r="G108" s="70"/>
      <c r="H108" s="189">
        <f>'4.pielikums'!B101</f>
        <v>158513</v>
      </c>
      <c r="I108" s="59"/>
    </row>
    <row r="109" spans="1:9" ht="30" customHeight="1">
      <c r="A109" s="51"/>
      <c r="B109" s="72" t="s">
        <v>207</v>
      </c>
      <c r="C109" s="146"/>
      <c r="D109" s="70">
        <f t="shared" si="10"/>
        <v>94883</v>
      </c>
      <c r="E109" s="70">
        <v>2280</v>
      </c>
      <c r="F109" s="70"/>
      <c r="G109" s="70"/>
      <c r="H109" s="189">
        <f>'4.pielikums'!B103</f>
        <v>97163</v>
      </c>
      <c r="I109" s="59"/>
    </row>
    <row r="110" spans="1:9" ht="28.15" customHeight="1">
      <c r="A110" s="51"/>
      <c r="B110" s="72" t="s">
        <v>11</v>
      </c>
      <c r="C110" s="146"/>
      <c r="D110" s="70">
        <f t="shared" si="10"/>
        <v>48970</v>
      </c>
      <c r="E110" s="77">
        <f>1200+1512</f>
        <v>2712</v>
      </c>
      <c r="F110" s="70"/>
      <c r="G110" s="70"/>
      <c r="H110" s="189">
        <f>'4.pielikums'!B104</f>
        <v>51682</v>
      </c>
      <c r="I110" s="59"/>
    </row>
    <row r="111" spans="1:9" ht="30" customHeight="1">
      <c r="A111" s="51"/>
      <c r="B111" s="72" t="s">
        <v>12</v>
      </c>
      <c r="C111" s="146"/>
      <c r="D111" s="70">
        <f t="shared" si="10"/>
        <v>49977</v>
      </c>
      <c r="E111" s="70">
        <v>3037</v>
      </c>
      <c r="F111" s="70"/>
      <c r="G111" s="70"/>
      <c r="H111" s="189">
        <f>'4.pielikums'!B106</f>
        <v>53014</v>
      </c>
      <c r="I111" s="59"/>
    </row>
    <row r="112" spans="1:9" ht="32.45" customHeight="1">
      <c r="A112" s="51"/>
      <c r="B112" s="72" t="s">
        <v>13</v>
      </c>
      <c r="C112" s="146"/>
      <c r="D112" s="70">
        <f t="shared" si="10"/>
        <v>35584</v>
      </c>
      <c r="E112" s="70">
        <f>4788+190</f>
        <v>4978</v>
      </c>
      <c r="F112" s="70"/>
      <c r="G112" s="70"/>
      <c r="H112" s="189">
        <f>'4.pielikums'!B108</f>
        <v>40562</v>
      </c>
      <c r="I112" s="59"/>
    </row>
    <row r="113" spans="1:9" ht="29.45" customHeight="1">
      <c r="A113" s="51"/>
      <c r="B113" s="72" t="s">
        <v>14</v>
      </c>
      <c r="C113" s="146"/>
      <c r="D113" s="70">
        <f t="shared" si="10"/>
        <v>76073</v>
      </c>
      <c r="E113" s="70">
        <f>125+1890</f>
        <v>2015</v>
      </c>
      <c r="F113" s="70"/>
      <c r="G113" s="70"/>
      <c r="H113" s="189">
        <f>'4.pielikums'!B110</f>
        <v>78088</v>
      </c>
      <c r="I113" s="59"/>
    </row>
    <row r="114" spans="1:9" ht="30" customHeight="1">
      <c r="A114" s="51"/>
      <c r="B114" s="79" t="s">
        <v>253</v>
      </c>
      <c r="C114" s="146"/>
      <c r="D114" s="70">
        <f t="shared" si="10"/>
        <v>78185</v>
      </c>
      <c r="E114" s="70">
        <v>42490</v>
      </c>
      <c r="F114" s="70"/>
      <c r="G114" s="70"/>
      <c r="H114" s="189">
        <f>'4.pielikums'!B111</f>
        <v>120675</v>
      </c>
      <c r="I114" s="59"/>
    </row>
    <row r="115" spans="1:9" ht="30" customHeight="1">
      <c r="A115" s="51"/>
      <c r="B115" s="80" t="s">
        <v>92</v>
      </c>
      <c r="C115" s="146"/>
      <c r="D115" s="70">
        <f t="shared" si="10"/>
        <v>108215</v>
      </c>
      <c r="E115" s="70">
        <v>3461</v>
      </c>
      <c r="F115" s="70"/>
      <c r="G115" s="70"/>
      <c r="H115" s="189">
        <f>'4.pielikums'!B112</f>
        <v>111676</v>
      </c>
      <c r="I115" s="59"/>
    </row>
    <row r="116" spans="1:9" ht="30" customHeight="1">
      <c r="A116" s="51"/>
      <c r="B116" s="72" t="s">
        <v>15</v>
      </c>
      <c r="C116" s="146"/>
      <c r="D116" s="70">
        <f t="shared" si="10"/>
        <v>55952</v>
      </c>
      <c r="E116" s="70">
        <v>551</v>
      </c>
      <c r="F116" s="70"/>
      <c r="G116" s="70"/>
      <c r="H116" s="189">
        <f>'4.pielikums'!B114</f>
        <v>56503</v>
      </c>
      <c r="I116" s="59"/>
    </row>
    <row r="117" spans="1:9" ht="30" customHeight="1">
      <c r="A117" s="51"/>
      <c r="B117" s="79" t="s">
        <v>254</v>
      </c>
      <c r="C117" s="146"/>
      <c r="D117" s="70">
        <f t="shared" si="10"/>
        <v>22274</v>
      </c>
      <c r="E117" s="70">
        <v>0</v>
      </c>
      <c r="F117" s="70"/>
      <c r="G117" s="70"/>
      <c r="H117" s="189">
        <f>'4.pielikums'!B115</f>
        <v>22274</v>
      </c>
      <c r="I117" s="59"/>
    </row>
    <row r="118" spans="1:9" ht="25.5" customHeight="1">
      <c r="A118" s="51"/>
      <c r="B118" s="80" t="s">
        <v>93</v>
      </c>
      <c r="C118" s="146"/>
      <c r="D118" s="70">
        <f t="shared" si="10"/>
        <v>193594</v>
      </c>
      <c r="E118" s="70">
        <v>10141</v>
      </c>
      <c r="F118" s="70"/>
      <c r="G118" s="70"/>
      <c r="H118" s="189">
        <f>'4.pielikums'!B116</f>
        <v>203735</v>
      </c>
      <c r="I118" s="59"/>
    </row>
    <row r="119" spans="1:9" ht="34.15" customHeight="1">
      <c r="A119" s="51"/>
      <c r="B119" s="79" t="s">
        <v>255</v>
      </c>
      <c r="C119" s="146"/>
      <c r="D119" s="70">
        <f t="shared" si="10"/>
        <v>31589</v>
      </c>
      <c r="E119" s="70">
        <f>2107+265</f>
        <v>2372</v>
      </c>
      <c r="F119" s="70"/>
      <c r="G119" s="70"/>
      <c r="H119" s="189">
        <f>'4.pielikums'!B118</f>
        <v>33961</v>
      </c>
      <c r="I119" s="59"/>
    </row>
    <row r="120" spans="1:9" ht="29.45" customHeight="1">
      <c r="A120" s="51"/>
      <c r="B120" s="72" t="s">
        <v>16</v>
      </c>
      <c r="C120" s="146"/>
      <c r="D120" s="70">
        <f t="shared" si="10"/>
        <v>106737</v>
      </c>
      <c r="E120" s="70">
        <v>8605</v>
      </c>
      <c r="F120" s="70"/>
      <c r="G120" s="70"/>
      <c r="H120" s="189">
        <f>'4.pielikums'!B119</f>
        <v>115342</v>
      </c>
      <c r="I120" s="59"/>
    </row>
    <row r="121" spans="1:9" s="58" customFormat="1" ht="30" customHeight="1">
      <c r="A121" s="63"/>
      <c r="B121" s="72" t="s">
        <v>17</v>
      </c>
      <c r="C121" s="116"/>
      <c r="D121" s="77">
        <f t="shared" si="10"/>
        <v>73539</v>
      </c>
      <c r="E121" s="77"/>
      <c r="F121" s="77"/>
      <c r="G121" s="77"/>
      <c r="H121" s="179">
        <f>'4.pielikums'!B121</f>
        <v>73539</v>
      </c>
      <c r="I121" s="59"/>
    </row>
    <row r="122" spans="1:9" ht="33.6" customHeight="1">
      <c r="A122" s="51"/>
      <c r="B122" s="79" t="s">
        <v>136</v>
      </c>
      <c r="C122" s="146"/>
      <c r="D122" s="70">
        <f t="shared" si="10"/>
        <v>94112</v>
      </c>
      <c r="E122" s="70">
        <v>3450</v>
      </c>
      <c r="F122" s="70"/>
      <c r="G122" s="70"/>
      <c r="H122" s="189">
        <f>'4.pielikums'!B122</f>
        <v>97562</v>
      </c>
      <c r="I122" s="59"/>
    </row>
    <row r="123" spans="1:9" ht="31.9" customHeight="1">
      <c r="A123" s="51"/>
      <c r="B123" s="72" t="s">
        <v>18</v>
      </c>
      <c r="C123" s="146"/>
      <c r="D123" s="70">
        <f t="shared" si="10"/>
        <v>101048</v>
      </c>
      <c r="E123" s="70">
        <f>586+67</f>
        <v>653</v>
      </c>
      <c r="F123" s="70"/>
      <c r="G123" s="70"/>
      <c r="H123" s="189">
        <f>'4.pielikums'!B123</f>
        <v>101701</v>
      </c>
      <c r="I123" s="59"/>
    </row>
    <row r="124" spans="1:9" ht="30" customHeight="1">
      <c r="A124" s="51"/>
      <c r="B124" s="79" t="s">
        <v>656</v>
      </c>
      <c r="C124" s="146"/>
      <c r="D124" s="70">
        <f t="shared" si="10"/>
        <v>19513</v>
      </c>
      <c r="E124" s="70"/>
      <c r="F124" s="70"/>
      <c r="G124" s="70"/>
      <c r="H124" s="189">
        <f>'4.pielikums'!B124</f>
        <v>19513</v>
      </c>
      <c r="I124" s="59"/>
    </row>
    <row r="125" spans="1:9" ht="30" customHeight="1">
      <c r="A125" s="51"/>
      <c r="B125" s="79" t="s">
        <v>657</v>
      </c>
      <c r="C125" s="146"/>
      <c r="D125" s="70">
        <f t="shared" si="10"/>
        <v>32284</v>
      </c>
      <c r="E125" s="70">
        <v>3350</v>
      </c>
      <c r="F125" s="70"/>
      <c r="G125" s="70"/>
      <c r="H125" s="189">
        <f>'4.pielikums'!B125</f>
        <v>35634</v>
      </c>
      <c r="I125" s="59"/>
    </row>
    <row r="126" spans="1:9" ht="20.25" customHeight="1">
      <c r="A126" s="51"/>
      <c r="B126" s="79" t="s">
        <v>663</v>
      </c>
      <c r="C126" s="146"/>
      <c r="D126" s="70">
        <f t="shared" si="10"/>
        <v>243634</v>
      </c>
      <c r="E126" s="70">
        <v>13540</v>
      </c>
      <c r="F126" s="70"/>
      <c r="G126" s="70"/>
      <c r="H126" s="189">
        <f>'4.pielikums'!B126</f>
        <v>257174</v>
      </c>
      <c r="I126" s="59"/>
    </row>
    <row r="127" spans="1:9" ht="30" customHeight="1">
      <c r="A127" s="51"/>
      <c r="B127" s="79" t="s">
        <v>746</v>
      </c>
      <c r="C127" s="146"/>
      <c r="D127" s="70">
        <f t="shared" si="10"/>
        <v>38760</v>
      </c>
      <c r="E127" s="70">
        <v>20924</v>
      </c>
      <c r="F127" s="70"/>
      <c r="G127" s="70"/>
      <c r="H127" s="189">
        <f>'4.pielikums'!B133</f>
        <v>59684</v>
      </c>
      <c r="I127" s="59"/>
    </row>
    <row r="128" spans="1:9" ht="30" customHeight="1">
      <c r="A128" s="51"/>
      <c r="B128" s="79" t="s">
        <v>747</v>
      </c>
      <c r="C128" s="146"/>
      <c r="D128" s="70">
        <f t="shared" si="10"/>
        <v>89545</v>
      </c>
      <c r="E128" s="70">
        <v>47308</v>
      </c>
      <c r="F128" s="70"/>
      <c r="G128" s="70"/>
      <c r="H128" s="189">
        <f>'4.pielikums'!B134</f>
        <v>136853</v>
      </c>
      <c r="I128" s="59"/>
    </row>
    <row r="129" spans="1:9" ht="30" customHeight="1">
      <c r="A129" s="51"/>
      <c r="B129" s="79" t="s">
        <v>748</v>
      </c>
      <c r="C129" s="146"/>
      <c r="D129" s="70">
        <f t="shared" si="10"/>
        <v>34045</v>
      </c>
      <c r="E129" s="70">
        <v>13500</v>
      </c>
      <c r="F129" s="70"/>
      <c r="G129" s="70"/>
      <c r="H129" s="189">
        <f>'4.pielikums'!B135</f>
        <v>47545</v>
      </c>
      <c r="I129" s="59"/>
    </row>
    <row r="130" spans="1:9" ht="15" customHeight="1">
      <c r="A130" s="51"/>
      <c r="B130" s="79" t="s">
        <v>749</v>
      </c>
      <c r="C130" s="146"/>
      <c r="D130" s="70">
        <f t="shared" si="10"/>
        <v>34197</v>
      </c>
      <c r="E130" s="70">
        <v>29102</v>
      </c>
      <c r="F130" s="70"/>
      <c r="G130" s="70"/>
      <c r="H130" s="189">
        <f>'4.pielikums'!B136</f>
        <v>63299</v>
      </c>
      <c r="I130" s="59"/>
    </row>
    <row r="131" spans="1:9" ht="30" customHeight="1">
      <c r="A131" s="51"/>
      <c r="B131" s="79" t="s">
        <v>750</v>
      </c>
      <c r="C131" s="146"/>
      <c r="D131" s="70">
        <f t="shared" si="10"/>
        <v>15761</v>
      </c>
      <c r="E131" s="70">
        <v>16000</v>
      </c>
      <c r="F131" s="70"/>
      <c r="G131" s="70"/>
      <c r="H131" s="189">
        <f>'4.pielikums'!B138</f>
        <v>31761</v>
      </c>
      <c r="I131" s="59"/>
    </row>
    <row r="132" spans="1:9" ht="30" customHeight="1">
      <c r="A132" s="51"/>
      <c r="B132" s="79" t="s">
        <v>76</v>
      </c>
      <c r="C132" s="146"/>
      <c r="D132" s="70">
        <f t="shared" si="10"/>
        <v>52891</v>
      </c>
      <c r="E132" s="70">
        <f>79000+12040</f>
        <v>91040</v>
      </c>
      <c r="F132" s="70"/>
      <c r="G132" s="70"/>
      <c r="H132" s="189">
        <f>'4.pielikums'!B139</f>
        <v>143931</v>
      </c>
      <c r="I132" s="59"/>
    </row>
    <row r="133" spans="1:9" ht="33" customHeight="1">
      <c r="A133" s="51"/>
      <c r="B133" s="79" t="s">
        <v>705</v>
      </c>
      <c r="C133" s="146"/>
      <c r="D133" s="70">
        <f t="shared" si="11" ref="D133:D166">H133-E133-G133-F133-C133</f>
        <v>38867</v>
      </c>
      <c r="E133" s="70">
        <v>66000</v>
      </c>
      <c r="F133" s="70"/>
      <c r="G133" s="70"/>
      <c r="H133" s="189">
        <f>'4.pielikums'!B140</f>
        <v>104867</v>
      </c>
      <c r="I133" s="59"/>
    </row>
    <row r="134" spans="1:9" ht="15" customHeight="1">
      <c r="A134" s="51"/>
      <c r="B134" s="143" t="s">
        <v>142</v>
      </c>
      <c r="C134" s="146"/>
      <c r="D134" s="70">
        <f t="shared" si="11"/>
        <v>0</v>
      </c>
      <c r="E134" s="70">
        <v>3100</v>
      </c>
      <c r="F134" s="70"/>
      <c r="G134" s="70"/>
      <c r="H134" s="189">
        <f>'4.pielikums'!B141</f>
        <v>3100</v>
      </c>
      <c r="I134" s="59"/>
    </row>
    <row r="135" spans="1:9" ht="15" customHeight="1">
      <c r="A135" s="51"/>
      <c r="B135" s="143" t="s">
        <v>141</v>
      </c>
      <c r="C135" s="146"/>
      <c r="D135" s="70">
        <f t="shared" si="11"/>
        <v>2775</v>
      </c>
      <c r="E135" s="70">
        <v>9356</v>
      </c>
      <c r="F135" s="70"/>
      <c r="G135" s="70"/>
      <c r="H135" s="189">
        <f>'4.pielikums'!B142</f>
        <v>12131</v>
      </c>
      <c r="I135" s="59"/>
    </row>
    <row r="136" spans="1:9" s="58" customFormat="1" ht="30" customHeight="1">
      <c r="A136" s="63"/>
      <c r="B136" s="79" t="s">
        <v>665</v>
      </c>
      <c r="C136" s="116"/>
      <c r="D136" s="77">
        <f t="shared" si="11"/>
        <v>3891</v>
      </c>
      <c r="E136" s="77">
        <v>2500</v>
      </c>
      <c r="F136" s="77"/>
      <c r="G136" s="77"/>
      <c r="H136" s="179">
        <f>'4.pielikums'!B143</f>
        <v>6391</v>
      </c>
      <c r="I136" s="59"/>
    </row>
    <row r="137" spans="1:9" ht="15" customHeight="1">
      <c r="A137" s="51"/>
      <c r="B137" s="79" t="s">
        <v>666</v>
      </c>
      <c r="C137" s="146"/>
      <c r="D137" s="70">
        <f t="shared" si="11"/>
        <v>8313</v>
      </c>
      <c r="E137" s="70">
        <v>4327</v>
      </c>
      <c r="F137" s="70"/>
      <c r="G137" s="70"/>
      <c r="H137" s="189">
        <f>'4.pielikums'!B144</f>
        <v>12640</v>
      </c>
      <c r="I137" s="59"/>
    </row>
    <row r="138" spans="1:9" s="58" customFormat="1" ht="30" customHeight="1">
      <c r="A138" s="63"/>
      <c r="B138" s="79" t="s">
        <v>667</v>
      </c>
      <c r="C138" s="116"/>
      <c r="D138" s="77">
        <f t="shared" si="11"/>
        <v>5205</v>
      </c>
      <c r="E138" s="77">
        <v>2005</v>
      </c>
      <c r="F138" s="77"/>
      <c r="G138" s="77"/>
      <c r="H138" s="179">
        <f>'4.pielikums'!B145</f>
        <v>7210</v>
      </c>
      <c r="I138" s="59"/>
    </row>
    <row r="139" spans="1:9" ht="15" customHeight="1">
      <c r="A139" s="51"/>
      <c r="B139" s="153" t="s">
        <v>668</v>
      </c>
      <c r="C139" s="146"/>
      <c r="D139" s="70">
        <f t="shared" si="11"/>
        <v>0</v>
      </c>
      <c r="E139" s="70">
        <v>4950</v>
      </c>
      <c r="F139" s="70"/>
      <c r="G139" s="70"/>
      <c r="H139" s="189">
        <f>'4.pielikums'!B146</f>
        <v>4950</v>
      </c>
      <c r="I139" s="59"/>
    </row>
    <row r="140" spans="1:9" ht="15" customHeight="1">
      <c r="A140" s="51"/>
      <c r="B140" s="79" t="s">
        <v>669</v>
      </c>
      <c r="C140" s="146"/>
      <c r="D140" s="70">
        <f t="shared" si="11"/>
        <v>10000</v>
      </c>
      <c r="E140" s="70">
        <v>6500</v>
      </c>
      <c r="F140" s="70"/>
      <c r="G140" s="70"/>
      <c r="H140" s="189">
        <f>'4.pielikums'!B148</f>
        <v>16500</v>
      </c>
      <c r="I140" s="59"/>
    </row>
    <row r="141" spans="1:9" ht="30" customHeight="1">
      <c r="A141" s="51"/>
      <c r="B141" s="79" t="s">
        <v>670</v>
      </c>
      <c r="C141" s="146"/>
      <c r="D141" s="70">
        <f t="shared" si="11"/>
        <v>0</v>
      </c>
      <c r="E141" s="70">
        <v>7000</v>
      </c>
      <c r="F141" s="70"/>
      <c r="G141" s="70"/>
      <c r="H141" s="189">
        <f>'4.pielikums'!B149</f>
        <v>7000</v>
      </c>
      <c r="I141" s="59"/>
    </row>
    <row r="142" spans="1:9" ht="15" customHeight="1">
      <c r="A142" s="51"/>
      <c r="B142" s="142" t="s">
        <v>94</v>
      </c>
      <c r="C142" s="146"/>
      <c r="D142" s="70">
        <f t="shared" si="11"/>
        <v>0</v>
      </c>
      <c r="E142" s="70">
        <v>10350</v>
      </c>
      <c r="F142" s="70"/>
      <c r="G142" s="70"/>
      <c r="H142" s="189">
        <f>'4.pielikums'!B150</f>
        <v>10350</v>
      </c>
      <c r="I142" s="59"/>
    </row>
    <row r="143" spans="1:9" s="58" customFormat="1" ht="30" customHeight="1">
      <c r="A143" s="63"/>
      <c r="B143" s="79" t="s">
        <v>671</v>
      </c>
      <c r="C143" s="116"/>
      <c r="D143" s="77">
        <f t="shared" si="11"/>
        <v>768</v>
      </c>
      <c r="E143" s="77">
        <v>2692</v>
      </c>
      <c r="F143" s="77"/>
      <c r="G143" s="77"/>
      <c r="H143" s="179">
        <f>'4.pielikums'!B151</f>
        <v>3460</v>
      </c>
      <c r="I143" s="59"/>
    </row>
    <row r="144" spans="1:9" ht="30" customHeight="1">
      <c r="A144" s="51"/>
      <c r="B144" s="79" t="s">
        <v>672</v>
      </c>
      <c r="C144" s="146"/>
      <c r="D144" s="70">
        <f t="shared" si="11"/>
        <v>3136</v>
      </c>
      <c r="E144" s="70">
        <v>5500</v>
      </c>
      <c r="F144" s="70"/>
      <c r="G144" s="70"/>
      <c r="H144" s="189">
        <f>'4.pielikums'!B152</f>
        <v>8636</v>
      </c>
      <c r="I144" s="59"/>
    </row>
    <row r="145" spans="1:9" ht="15" customHeight="1">
      <c r="A145" s="51"/>
      <c r="B145" s="79" t="s">
        <v>682</v>
      </c>
      <c r="C145" s="146"/>
      <c r="D145" s="70">
        <f t="shared" si="11"/>
        <v>0</v>
      </c>
      <c r="E145" s="70">
        <v>3800</v>
      </c>
      <c r="F145" s="70"/>
      <c r="G145" s="70"/>
      <c r="H145" s="189">
        <f>'4.pielikums'!B153</f>
        <v>3800</v>
      </c>
      <c r="I145" s="59"/>
    </row>
    <row r="146" spans="1:9" ht="15" customHeight="1">
      <c r="A146" s="51"/>
      <c r="B146" s="142" t="s">
        <v>95</v>
      </c>
      <c r="C146" s="146"/>
      <c r="D146" s="70">
        <f t="shared" si="11"/>
        <v>0</v>
      </c>
      <c r="E146" s="70">
        <v>9900</v>
      </c>
      <c r="F146" s="70"/>
      <c r="G146" s="70"/>
      <c r="H146" s="189">
        <f>'4.pielikums'!B154</f>
        <v>9900</v>
      </c>
      <c r="I146" s="59"/>
    </row>
    <row r="147" spans="1:9" ht="15" customHeight="1">
      <c r="A147" s="51"/>
      <c r="B147" s="79" t="s">
        <v>674</v>
      </c>
      <c r="C147" s="146"/>
      <c r="D147" s="70">
        <f t="shared" si="11"/>
        <v>0</v>
      </c>
      <c r="E147" s="70">
        <v>3600</v>
      </c>
      <c r="F147" s="70"/>
      <c r="G147" s="70"/>
      <c r="H147" s="189">
        <f>'4.pielikums'!B155</f>
        <v>3600</v>
      </c>
      <c r="I147" s="59"/>
    </row>
    <row r="148" spans="1:9" ht="15" customHeight="1">
      <c r="A148" s="51"/>
      <c r="B148" s="79" t="s">
        <v>675</v>
      </c>
      <c r="C148" s="146"/>
      <c r="D148" s="70">
        <f t="shared" si="11"/>
        <v>1160</v>
      </c>
      <c r="E148" s="70">
        <v>8500</v>
      </c>
      <c r="F148" s="70"/>
      <c r="G148" s="70"/>
      <c r="H148" s="189">
        <f>'4.pielikums'!B156</f>
        <v>9660</v>
      </c>
      <c r="I148" s="59"/>
    </row>
    <row r="149" spans="1:9" s="58" customFormat="1" ht="15" customHeight="1">
      <c r="A149" s="63"/>
      <c r="B149" s="79" t="s">
        <v>677</v>
      </c>
      <c r="C149" s="116"/>
      <c r="D149" s="77">
        <f t="shared" si="11"/>
        <v>1150</v>
      </c>
      <c r="E149" s="77">
        <v>3800</v>
      </c>
      <c r="F149" s="77"/>
      <c r="G149" s="77"/>
      <c r="H149" s="179">
        <f>'4.pielikums'!B158</f>
        <v>4950</v>
      </c>
      <c r="I149" s="59"/>
    </row>
    <row r="150" spans="1:9" ht="15" customHeight="1">
      <c r="A150" s="51"/>
      <c r="B150" s="79" t="s">
        <v>684</v>
      </c>
      <c r="C150" s="146"/>
      <c r="D150" s="70">
        <f t="shared" si="11"/>
        <v>1105</v>
      </c>
      <c r="E150" s="77">
        <v>2500</v>
      </c>
      <c r="F150" s="70"/>
      <c r="G150" s="70"/>
      <c r="H150" s="189">
        <f>'4.pielikums'!B157</f>
        <v>3605</v>
      </c>
      <c r="I150" s="59"/>
    </row>
    <row r="151" spans="1:9" ht="15" customHeight="1">
      <c r="A151" s="51"/>
      <c r="B151" s="79" t="s">
        <v>678</v>
      </c>
      <c r="C151" s="146"/>
      <c r="D151" s="70">
        <f t="shared" si="11"/>
        <v>292</v>
      </c>
      <c r="E151" s="70">
        <v>3350</v>
      </c>
      <c r="F151" s="70"/>
      <c r="G151" s="70"/>
      <c r="H151" s="189">
        <f>'4.pielikums'!B159</f>
        <v>3642</v>
      </c>
      <c r="I151" s="59"/>
    </row>
    <row r="152" spans="1:9" ht="30" customHeight="1">
      <c r="A152" s="51"/>
      <c r="B152" s="79" t="s">
        <v>683</v>
      </c>
      <c r="C152" s="146"/>
      <c r="D152" s="70">
        <f t="shared" si="11"/>
        <v>15695</v>
      </c>
      <c r="E152" s="70">
        <v>15100</v>
      </c>
      <c r="F152" s="70"/>
      <c r="G152" s="70"/>
      <c r="H152" s="189">
        <f>'4.pielikums'!B160</f>
        <v>30795</v>
      </c>
      <c r="I152" s="59"/>
    </row>
    <row r="153" spans="1:9" ht="30" customHeight="1">
      <c r="A153" s="51"/>
      <c r="B153" s="79" t="s">
        <v>741</v>
      </c>
      <c r="C153" s="146"/>
      <c r="D153" s="70">
        <f t="shared" si="11"/>
        <v>0</v>
      </c>
      <c r="E153" s="70">
        <v>3200</v>
      </c>
      <c r="F153" s="70"/>
      <c r="G153" s="70"/>
      <c r="H153" s="189">
        <f>'4.pielikums'!B161</f>
        <v>3200</v>
      </c>
      <c r="I153" s="59"/>
    </row>
    <row r="154" spans="1:9" ht="15" customHeight="1">
      <c r="A154" s="51"/>
      <c r="B154" s="79" t="s">
        <v>742</v>
      </c>
      <c r="C154" s="146"/>
      <c r="D154" s="70">
        <f t="shared" si="11"/>
        <v>3405</v>
      </c>
      <c r="E154" s="70">
        <v>10000</v>
      </c>
      <c r="F154" s="70"/>
      <c r="G154" s="70"/>
      <c r="H154" s="189">
        <f>'4.pielikums'!B162</f>
        <v>13405</v>
      </c>
      <c r="I154" s="59"/>
    </row>
    <row r="155" spans="1:9" ht="30" customHeight="1">
      <c r="A155" s="51"/>
      <c r="B155" s="80" t="s">
        <v>539</v>
      </c>
      <c r="C155" s="146"/>
      <c r="D155" s="70">
        <f t="shared" si="11"/>
        <v>0</v>
      </c>
      <c r="E155" s="70"/>
      <c r="F155" s="70">
        <v>9700</v>
      </c>
      <c r="G155" s="70"/>
      <c r="H155" s="189">
        <f>'4.pielikums'!B300</f>
        <v>9700</v>
      </c>
      <c r="I155" s="59"/>
    </row>
    <row r="156" spans="1:9" ht="30" customHeight="1">
      <c r="A156" s="51"/>
      <c r="B156" s="168" t="s">
        <v>569</v>
      </c>
      <c r="C156" s="146"/>
      <c r="D156" s="70">
        <f t="shared" si="11"/>
        <v>120000</v>
      </c>
      <c r="E156" s="70"/>
      <c r="F156" s="70"/>
      <c r="G156" s="70"/>
      <c r="H156" s="189">
        <f>'4.pielikums'!B304</f>
        <v>120000</v>
      </c>
      <c r="I156" s="59"/>
    </row>
    <row r="157" spans="1:9" s="58" customFormat="1" ht="15" customHeight="1">
      <c r="A157" s="63"/>
      <c r="B157" s="168" t="s">
        <v>122</v>
      </c>
      <c r="C157" s="116"/>
      <c r="D157" s="77">
        <f t="shared" si="11"/>
        <v>141651</v>
      </c>
      <c r="E157" s="77"/>
      <c r="F157" s="77"/>
      <c r="G157" s="77"/>
      <c r="H157" s="179">
        <f>'4.pielikums'!B301</f>
        <v>141651</v>
      </c>
      <c r="I157" s="59"/>
    </row>
    <row r="158" spans="1:9" s="58" customFormat="1" ht="31.9" customHeight="1">
      <c r="A158" s="63"/>
      <c r="B158" s="168" t="s">
        <v>706</v>
      </c>
      <c r="C158" s="116"/>
      <c r="D158" s="77">
        <f t="shared" si="11"/>
        <v>12996</v>
      </c>
      <c r="E158" s="77"/>
      <c r="F158" s="77"/>
      <c r="G158" s="77"/>
      <c r="H158" s="179">
        <f>'4.pielikums'!B303</f>
        <v>12996</v>
      </c>
      <c r="I158" s="59"/>
    </row>
    <row r="159" spans="1:9" s="58" customFormat="1" ht="48.75" customHeight="1">
      <c r="A159" s="63"/>
      <c r="B159" s="168" t="s">
        <v>709</v>
      </c>
      <c r="C159" s="116"/>
      <c r="D159" s="77">
        <f t="shared" si="11"/>
        <v>0</v>
      </c>
      <c r="E159" s="77"/>
      <c r="F159" s="77">
        <v>200813</v>
      </c>
      <c r="G159" s="77">
        <v>112152</v>
      </c>
      <c r="H159" s="179">
        <f>'4.pielikums'!B315</f>
        <v>312965</v>
      </c>
      <c r="I159" s="59"/>
    </row>
    <row r="160" spans="1:9" s="58" customFormat="1" ht="54" customHeight="1">
      <c r="A160" s="63"/>
      <c r="B160" s="168" t="s">
        <v>707</v>
      </c>
      <c r="C160" s="116"/>
      <c r="D160" s="77">
        <f t="shared" si="11"/>
        <v>0</v>
      </c>
      <c r="E160" s="77"/>
      <c r="F160" s="77">
        <v>22142</v>
      </c>
      <c r="G160" s="77">
        <v>22142</v>
      </c>
      <c r="H160" s="179">
        <f>'4.pielikums'!B314</f>
        <v>44284</v>
      </c>
      <c r="I160" s="59"/>
    </row>
    <row r="161" spans="1:9" s="58" customFormat="1" ht="44.25" customHeight="1">
      <c r="A161" s="63"/>
      <c r="B161" s="168" t="s">
        <v>735</v>
      </c>
      <c r="C161" s="116"/>
      <c r="D161" s="77">
        <f t="shared" si="11"/>
        <v>57147</v>
      </c>
      <c r="E161" s="77"/>
      <c r="F161" s="77"/>
      <c r="G161" s="77"/>
      <c r="H161" s="179">
        <f>'4.pielikums'!B127</f>
        <v>57147</v>
      </c>
      <c r="I161" s="59"/>
    </row>
    <row r="162" spans="1:9" s="58" customFormat="1" ht="44.25" customHeight="1">
      <c r="A162" s="63"/>
      <c r="B162" s="227" t="s">
        <v>778</v>
      </c>
      <c r="C162" s="116"/>
      <c r="D162" s="77">
        <f t="shared" si="11"/>
        <v>9729</v>
      </c>
      <c r="E162" s="77"/>
      <c r="F162" s="77">
        <v>22500</v>
      </c>
      <c r="G162" s="77"/>
      <c r="H162" s="179">
        <f>'4.pielikums'!B340</f>
        <v>32229</v>
      </c>
      <c r="I162" s="59"/>
    </row>
    <row r="163" spans="1:9" s="58" customFormat="1" ht="67.5" customHeight="1">
      <c r="A163" s="63"/>
      <c r="B163" s="227" t="s">
        <v>780</v>
      </c>
      <c r="C163" s="116"/>
      <c r="D163" s="77">
        <f t="shared" si="11"/>
        <v>2299</v>
      </c>
      <c r="E163" s="77"/>
      <c r="F163" s="77"/>
      <c r="G163" s="77"/>
      <c r="H163" s="93">
        <f>'4.pielikums'!B345</f>
        <v>2299</v>
      </c>
      <c r="I163" s="59"/>
    </row>
    <row r="164" spans="1:9" s="58" customFormat="1" ht="63.75" customHeight="1">
      <c r="A164" s="63"/>
      <c r="B164" s="227" t="s">
        <v>781</v>
      </c>
      <c r="C164" s="116"/>
      <c r="D164" s="77">
        <f t="shared" si="11"/>
        <v>3388</v>
      </c>
      <c r="E164" s="77"/>
      <c r="F164" s="77"/>
      <c r="G164" s="77"/>
      <c r="H164" s="93">
        <f>'4.pielikums'!B346</f>
        <v>3388</v>
      </c>
      <c r="I164" s="59"/>
    </row>
    <row r="165" spans="1:9" s="58" customFormat="1" ht="60.75" customHeight="1">
      <c r="A165" s="63"/>
      <c r="B165" s="227" t="s">
        <v>782</v>
      </c>
      <c r="C165" s="116"/>
      <c r="D165" s="77">
        <f t="shared" si="11"/>
        <v>1452</v>
      </c>
      <c r="E165" s="77"/>
      <c r="F165" s="77"/>
      <c r="G165" s="77"/>
      <c r="H165" s="93">
        <f>'4.pielikums'!B347</f>
        <v>1452</v>
      </c>
      <c r="I165" s="59"/>
    </row>
    <row r="166" spans="1:9" s="58" customFormat="1" ht="68.25" customHeight="1">
      <c r="A166" s="63"/>
      <c r="B166" s="227" t="s">
        <v>783</v>
      </c>
      <c r="C166" s="116"/>
      <c r="D166" s="77">
        <f t="shared" si="11"/>
        <v>1210</v>
      </c>
      <c r="E166" s="77"/>
      <c r="F166" s="77"/>
      <c r="G166" s="77"/>
      <c r="H166" s="93">
        <f>'4.pielikums'!B348</f>
        <v>1210</v>
      </c>
      <c r="I166" s="59"/>
    </row>
    <row r="167" spans="1:9" ht="15" customHeight="1">
      <c r="A167" s="17" t="s">
        <v>209</v>
      </c>
      <c r="B167" s="182" t="s">
        <v>210</v>
      </c>
      <c r="C167" s="94">
        <f t="shared" si="12" ref="C167:H167">SUM(C168:C177)</f>
        <v>0</v>
      </c>
      <c r="D167" s="94">
        <f t="shared" si="12"/>
        <v>1404</v>
      </c>
      <c r="E167" s="94">
        <f t="shared" si="12"/>
        <v>550</v>
      </c>
      <c r="F167" s="94">
        <f t="shared" si="12"/>
        <v>157804</v>
      </c>
      <c r="G167" s="94">
        <f t="shared" si="12"/>
        <v>0</v>
      </c>
      <c r="H167" s="189">
        <f t="shared" si="12"/>
        <v>159758</v>
      </c>
      <c r="I167" s="59"/>
    </row>
    <row r="168" spans="1:9" ht="15" customHeight="1">
      <c r="A168" s="51"/>
      <c r="B168" s="72" t="s">
        <v>211</v>
      </c>
      <c r="C168" s="146"/>
      <c r="D168" s="70">
        <f t="shared" si="13" ref="D168:D177">H168-E168-G168-F168-C168</f>
        <v>0</v>
      </c>
      <c r="E168" s="70">
        <v>150</v>
      </c>
      <c r="F168" s="70">
        <v>15093</v>
      </c>
      <c r="G168" s="70"/>
      <c r="H168" s="189">
        <f>'4.pielikums'!B163</f>
        <v>15243</v>
      </c>
      <c r="I168" s="59"/>
    </row>
    <row r="169" spans="1:9" ht="15" customHeight="1">
      <c r="A169" s="51"/>
      <c r="B169" s="72" t="s">
        <v>212</v>
      </c>
      <c r="C169" s="146"/>
      <c r="D169" s="70">
        <f t="shared" si="13"/>
        <v>0</v>
      </c>
      <c r="E169" s="70">
        <v>50</v>
      </c>
      <c r="F169" s="70">
        <v>15093</v>
      </c>
      <c r="G169" s="70"/>
      <c r="H169" s="189">
        <f>'4.pielikums'!B164</f>
        <v>15143</v>
      </c>
      <c r="I169" s="59"/>
    </row>
    <row r="170" spans="1:9" ht="15" customHeight="1">
      <c r="A170" s="51"/>
      <c r="B170" s="72" t="s">
        <v>213</v>
      </c>
      <c r="C170" s="146"/>
      <c r="D170" s="70">
        <f t="shared" si="13"/>
        <v>0</v>
      </c>
      <c r="E170" s="70">
        <v>50</v>
      </c>
      <c r="F170" s="70">
        <v>15093</v>
      </c>
      <c r="G170" s="70"/>
      <c r="H170" s="189">
        <f>'4.pielikums'!B165</f>
        <v>15143</v>
      </c>
      <c r="I170" s="59"/>
    </row>
    <row r="171" spans="1:9" ht="15" customHeight="1">
      <c r="A171" s="51"/>
      <c r="B171" s="72" t="s">
        <v>744</v>
      </c>
      <c r="C171" s="146"/>
      <c r="D171" s="70">
        <f t="shared" si="13"/>
        <v>0</v>
      </c>
      <c r="E171" s="70">
        <v>50</v>
      </c>
      <c r="F171" s="70">
        <v>15093</v>
      </c>
      <c r="G171" s="70"/>
      <c r="H171" s="189">
        <f>'4.pielikums'!B166</f>
        <v>15143</v>
      </c>
      <c r="I171" s="59"/>
    </row>
    <row r="172" spans="1:9" ht="15" customHeight="1">
      <c r="A172" s="51"/>
      <c r="B172" s="72" t="s">
        <v>214</v>
      </c>
      <c r="C172" s="146"/>
      <c r="D172" s="70">
        <f t="shared" si="13"/>
        <v>0</v>
      </c>
      <c r="E172" s="70">
        <v>50</v>
      </c>
      <c r="F172" s="70">
        <v>15093</v>
      </c>
      <c r="G172" s="70"/>
      <c r="H172" s="189">
        <f>'4.pielikums'!B167</f>
        <v>15143</v>
      </c>
      <c r="I172" s="59"/>
    </row>
    <row r="173" spans="1:9" ht="15" customHeight="1">
      <c r="A173" s="51"/>
      <c r="B173" s="72" t="s">
        <v>215</v>
      </c>
      <c r="C173" s="146"/>
      <c r="D173" s="70">
        <f t="shared" si="13"/>
        <v>0</v>
      </c>
      <c r="E173" s="70">
        <v>50</v>
      </c>
      <c r="F173" s="70">
        <v>15093</v>
      </c>
      <c r="G173" s="70"/>
      <c r="H173" s="189">
        <f>'4.pielikums'!B168</f>
        <v>15143</v>
      </c>
      <c r="I173" s="59"/>
    </row>
    <row r="174" spans="1:9" ht="15" customHeight="1">
      <c r="A174" s="51"/>
      <c r="B174" s="79" t="s">
        <v>743</v>
      </c>
      <c r="C174" s="146"/>
      <c r="D174" s="70">
        <f t="shared" si="13"/>
        <v>625</v>
      </c>
      <c r="E174" s="70">
        <v>50</v>
      </c>
      <c r="F174" s="70">
        <v>15093</v>
      </c>
      <c r="G174" s="70"/>
      <c r="H174" s="189">
        <f>'4.pielikums'!B169</f>
        <v>15768</v>
      </c>
      <c r="I174" s="59"/>
    </row>
    <row r="175" spans="1:9" ht="15" customHeight="1">
      <c r="A175" s="51"/>
      <c r="B175" s="72" t="s">
        <v>216</v>
      </c>
      <c r="C175" s="146"/>
      <c r="D175" s="70">
        <f t="shared" si="13"/>
        <v>779</v>
      </c>
      <c r="E175" s="70">
        <v>50</v>
      </c>
      <c r="F175" s="70">
        <v>15093</v>
      </c>
      <c r="G175" s="70"/>
      <c r="H175" s="189">
        <f>'4.pielikums'!B170</f>
        <v>15922</v>
      </c>
      <c r="I175" s="59"/>
    </row>
    <row r="176" spans="1:9" ht="15" customHeight="1">
      <c r="A176" s="51"/>
      <c r="B176" s="72" t="s">
        <v>217</v>
      </c>
      <c r="C176" s="146"/>
      <c r="D176" s="70">
        <f t="shared" si="13"/>
        <v>0</v>
      </c>
      <c r="E176" s="70">
        <v>50</v>
      </c>
      <c r="F176" s="70">
        <v>15093</v>
      </c>
      <c r="G176" s="70"/>
      <c r="H176" s="189">
        <f>'4.pielikums'!B171</f>
        <v>15143</v>
      </c>
      <c r="I176" s="59"/>
    </row>
    <row r="177" spans="1:9" ht="15" customHeight="1">
      <c r="A177" s="51"/>
      <c r="B177" s="109" t="s">
        <v>218</v>
      </c>
      <c r="C177" s="146"/>
      <c r="D177" s="70">
        <f t="shared" si="13"/>
        <v>0</v>
      </c>
      <c r="E177" s="70"/>
      <c r="F177" s="70">
        <v>21967</v>
      </c>
      <c r="G177" s="70"/>
      <c r="H177" s="189">
        <f>'4.pielikums'!B172</f>
        <v>21967</v>
      </c>
      <c r="I177" s="59"/>
    </row>
    <row r="178" spans="1:9" ht="15" customHeight="1">
      <c r="A178" s="17" t="s">
        <v>219</v>
      </c>
      <c r="B178" s="74" t="s">
        <v>507</v>
      </c>
      <c r="C178" s="94"/>
      <c r="D178" s="94">
        <f>D179+D186+D189+D193+D214</f>
        <v>2337380</v>
      </c>
      <c r="E178" s="94">
        <f>E179+E186+E189+E193+E214</f>
        <v>142663</v>
      </c>
      <c r="F178" s="94">
        <f>F179+F186+F189+F193+F214</f>
        <v>168141</v>
      </c>
      <c r="G178" s="94">
        <f>G179+G186+G189+G193+G214</f>
        <v>0</v>
      </c>
      <c r="H178" s="189">
        <f>H179+H186+H189+H193+H214</f>
        <v>2648734</v>
      </c>
      <c r="I178" s="240"/>
    </row>
    <row r="179" spans="1:9" ht="15" customHeight="1">
      <c r="A179" s="17"/>
      <c r="B179" s="74" t="s">
        <v>220</v>
      </c>
      <c r="C179" s="94">
        <f>SUM(C180:C183)</f>
        <v>0</v>
      </c>
      <c r="D179" s="94">
        <f>SUM(D180:D184)</f>
        <v>154259</v>
      </c>
      <c r="E179" s="94">
        <f>SUM(E180:E183)</f>
        <v>2835</v>
      </c>
      <c r="F179" s="94">
        <f>SUM(F180:F184)</f>
        <v>60000</v>
      </c>
      <c r="G179" s="94">
        <f>SUM(G180:G183)</f>
        <v>0</v>
      </c>
      <c r="H179" s="189">
        <f>SUM(H180:H184)</f>
        <v>217094</v>
      </c>
      <c r="I179" s="59"/>
    </row>
    <row r="180" spans="1:9" ht="15" customHeight="1">
      <c r="A180" s="51"/>
      <c r="B180" s="73" t="s">
        <v>114</v>
      </c>
      <c r="C180" s="147"/>
      <c r="D180" s="70">
        <f>H180-E180-G180-F180-C180</f>
        <v>85226</v>
      </c>
      <c r="E180" s="70"/>
      <c r="F180" s="70"/>
      <c r="G180" s="70"/>
      <c r="H180" s="189">
        <f>'4.pielikums'!B173</f>
        <v>85226</v>
      </c>
      <c r="I180" s="59"/>
    </row>
    <row r="181" spans="1:9" ht="15" customHeight="1">
      <c r="A181" s="51"/>
      <c r="B181" s="72" t="s">
        <v>144</v>
      </c>
      <c r="C181" s="146"/>
      <c r="D181" s="70">
        <f>H181-E181-G181-F181-C181</f>
        <v>30829</v>
      </c>
      <c r="E181" s="70">
        <v>1835</v>
      </c>
      <c r="F181" s="70"/>
      <c r="G181" s="70"/>
      <c r="H181" s="189">
        <f>'4.pielikums'!B174</f>
        <v>32664</v>
      </c>
      <c r="I181" s="59"/>
    </row>
    <row r="182" spans="1:9" ht="15" customHeight="1">
      <c r="A182" s="51"/>
      <c r="B182" s="72" t="s">
        <v>165</v>
      </c>
      <c r="C182" s="146"/>
      <c r="D182" s="70">
        <f>H182-E182-G182-F182-C182</f>
        <v>25195</v>
      </c>
      <c r="E182" s="70">
        <v>1000</v>
      </c>
      <c r="F182" s="70"/>
      <c r="G182" s="70"/>
      <c r="H182" s="189">
        <f>'4.pielikums'!B176</f>
        <v>26195</v>
      </c>
      <c r="I182" s="59"/>
    </row>
    <row r="183" spans="1:9" ht="15" customHeight="1">
      <c r="A183" s="51"/>
      <c r="B183" s="72" t="s">
        <v>726</v>
      </c>
      <c r="C183" s="146"/>
      <c r="D183" s="70">
        <f>H183-E183-G183-F183-C183</f>
        <v>13009</v>
      </c>
      <c r="E183" s="70"/>
      <c r="F183" s="70"/>
      <c r="G183" s="70"/>
      <c r="H183" s="189">
        <f>'4.pielikums'!B175</f>
        <v>13009</v>
      </c>
      <c r="I183" s="59"/>
    </row>
    <row r="184" spans="1:9" ht="15" customHeight="1">
      <c r="A184" s="51"/>
      <c r="B184" s="72" t="s">
        <v>717</v>
      </c>
      <c r="C184" s="146"/>
      <c r="D184" s="70">
        <f>H184-E184-G184-F184-C184</f>
        <v>0</v>
      </c>
      <c r="E184" s="70"/>
      <c r="F184" s="70">
        <v>60000</v>
      </c>
      <c r="G184" s="70"/>
      <c r="H184" s="189">
        <f>'4.pielikums'!B177</f>
        <v>60000</v>
      </c>
      <c r="I184" s="59"/>
    </row>
    <row r="185" spans="1:9" ht="15" customHeight="1">
      <c r="A185" s="17"/>
      <c r="B185" s="74" t="s">
        <v>221</v>
      </c>
      <c r="C185" s="137"/>
      <c r="D185" s="70"/>
      <c r="E185" s="94"/>
      <c r="F185" s="94"/>
      <c r="G185" s="94"/>
      <c r="H185" s="189"/>
      <c r="I185" s="59"/>
    </row>
    <row r="186" spans="1:9" ht="15" customHeight="1">
      <c r="A186" s="17"/>
      <c r="B186" s="74" t="s">
        <v>222</v>
      </c>
      <c r="C186" s="94">
        <f>SUM(C187:C187)</f>
        <v>0</v>
      </c>
      <c r="D186" s="94">
        <f>SUM(D187:D188)</f>
        <v>583003</v>
      </c>
      <c r="E186" s="94">
        <f>SUM(E187:E188)</f>
        <v>17800</v>
      </c>
      <c r="F186" s="94">
        <f>SUM(F187:F188)</f>
        <v>18531</v>
      </c>
      <c r="G186" s="94">
        <f>SUM(G187:G187)</f>
        <v>0</v>
      </c>
      <c r="H186" s="189">
        <f>SUM(H187:H188)</f>
        <v>619334</v>
      </c>
      <c r="I186" s="59"/>
    </row>
    <row r="187" spans="1:9" ht="15" customHeight="1">
      <c r="A187" s="51"/>
      <c r="B187" s="73" t="s">
        <v>21</v>
      </c>
      <c r="C187" s="147"/>
      <c r="D187" s="70">
        <f>H187-E187-G187-F187-C187</f>
        <v>547153</v>
      </c>
      <c r="E187" s="70">
        <v>1800</v>
      </c>
      <c r="F187" s="77">
        <v>18531</v>
      </c>
      <c r="G187" s="70"/>
      <c r="H187" s="189">
        <f>'4.pielikums'!B178</f>
        <v>567484</v>
      </c>
      <c r="I187" s="59"/>
    </row>
    <row r="188" spans="1:9" ht="15" customHeight="1">
      <c r="A188" s="51"/>
      <c r="B188" s="73" t="s">
        <v>629</v>
      </c>
      <c r="C188" s="147"/>
      <c r="D188" s="70">
        <f>H188-E188-G188-F188-C188</f>
        <v>35850</v>
      </c>
      <c r="E188" s="70">
        <v>16000</v>
      </c>
      <c r="F188" s="77"/>
      <c r="G188" s="70"/>
      <c r="H188" s="189">
        <f>'4.pielikums'!B179</f>
        <v>51850</v>
      </c>
      <c r="I188" s="59"/>
    </row>
    <row r="189" spans="1:9" ht="15" customHeight="1">
      <c r="A189" s="17"/>
      <c r="B189" s="74" t="s">
        <v>223</v>
      </c>
      <c r="C189" s="94">
        <f t="shared" si="14" ref="C189:H189">SUM(C190:C192)</f>
        <v>0</v>
      </c>
      <c r="D189" s="94">
        <f t="shared" si="14"/>
        <v>234292</v>
      </c>
      <c r="E189" s="94">
        <f t="shared" si="14"/>
        <v>12820</v>
      </c>
      <c r="F189" s="94">
        <f t="shared" si="14"/>
        <v>0</v>
      </c>
      <c r="G189" s="94">
        <f t="shared" si="14"/>
        <v>0</v>
      </c>
      <c r="H189" s="189">
        <f t="shared" si="14"/>
        <v>247112</v>
      </c>
      <c r="I189" s="59"/>
    </row>
    <row r="190" spans="1:9" ht="15" customHeight="1">
      <c r="A190" s="51"/>
      <c r="B190" s="73" t="s">
        <v>224</v>
      </c>
      <c r="C190" s="147"/>
      <c r="D190" s="70">
        <f>H190-E190-G190-F190-C190</f>
        <v>135753</v>
      </c>
      <c r="E190" s="70">
        <v>10850</v>
      </c>
      <c r="F190" s="70"/>
      <c r="G190" s="70"/>
      <c r="H190" s="189">
        <f>'4.pielikums'!B180</f>
        <v>146603</v>
      </c>
      <c r="I190" s="59"/>
    </row>
    <row r="191" spans="1:9" ht="15" customHeight="1">
      <c r="A191" s="51"/>
      <c r="B191" s="73" t="s">
        <v>97</v>
      </c>
      <c r="C191" s="147"/>
      <c r="D191" s="70">
        <f>H191-E191-G191-F191-C191</f>
        <v>54568</v>
      </c>
      <c r="E191" s="70">
        <v>600</v>
      </c>
      <c r="F191" s="70"/>
      <c r="G191" s="70"/>
      <c r="H191" s="189">
        <f>'4.pielikums'!B181</f>
        <v>55168</v>
      </c>
      <c r="I191" s="59"/>
    </row>
    <row r="192" spans="1:9" ht="15" customHeight="1">
      <c r="A192" s="51"/>
      <c r="B192" s="79" t="s">
        <v>83</v>
      </c>
      <c r="C192" s="146"/>
      <c r="D192" s="70">
        <f>H192-E192-G192-F192-C192</f>
        <v>43971</v>
      </c>
      <c r="E192" s="70">
        <v>1370</v>
      </c>
      <c r="F192" s="70"/>
      <c r="G192" s="70"/>
      <c r="H192" s="189">
        <f>'4.pielikums'!B183</f>
        <v>45341</v>
      </c>
      <c r="I192" s="59"/>
    </row>
    <row r="193" spans="1:9" ht="15" customHeight="1">
      <c r="A193" s="17"/>
      <c r="B193" s="74" t="s">
        <v>225</v>
      </c>
      <c r="C193" s="94">
        <f t="shared" si="15" ref="C193:H193">SUM(C194:C213)</f>
        <v>0</v>
      </c>
      <c r="D193" s="94">
        <f t="shared" si="15"/>
        <v>680612</v>
      </c>
      <c r="E193" s="94">
        <f t="shared" si="15"/>
        <v>99885</v>
      </c>
      <c r="F193" s="94">
        <f t="shared" si="15"/>
        <v>27200</v>
      </c>
      <c r="G193" s="94">
        <f t="shared" si="15"/>
        <v>0</v>
      </c>
      <c r="H193" s="189">
        <f t="shared" si="15"/>
        <v>807697</v>
      </c>
      <c r="I193" s="59"/>
    </row>
    <row r="194" spans="1:9" ht="24" customHeight="1">
      <c r="A194" s="51"/>
      <c r="B194" s="73" t="s">
        <v>63</v>
      </c>
      <c r="C194" s="147"/>
      <c r="D194" s="70">
        <f t="shared" si="16" ref="D194:D213">H194-E194-G194-F194-C194</f>
        <v>276800</v>
      </c>
      <c r="E194" s="70">
        <v>9991</v>
      </c>
      <c r="F194" s="70">
        <v>16150</v>
      </c>
      <c r="G194" s="70"/>
      <c r="H194" s="189">
        <f>'4.pielikums'!B184</f>
        <v>302941</v>
      </c>
      <c r="I194" s="241"/>
    </row>
    <row r="195" spans="1:9" ht="30" customHeight="1">
      <c r="A195" s="51"/>
      <c r="B195" s="72" t="s">
        <v>229</v>
      </c>
      <c r="C195" s="146"/>
      <c r="D195" s="70">
        <f t="shared" si="16"/>
        <v>31352</v>
      </c>
      <c r="E195" s="70">
        <v>45854</v>
      </c>
      <c r="F195" s="70"/>
      <c r="G195" s="70"/>
      <c r="H195" s="189">
        <f>'4.pielikums'!B186</f>
        <v>77206</v>
      </c>
      <c r="I195" s="59"/>
    </row>
    <row r="196" spans="1:9" ht="15" customHeight="1">
      <c r="A196" s="51"/>
      <c r="B196" s="72" t="s">
        <v>98</v>
      </c>
      <c r="C196" s="146"/>
      <c r="D196" s="70">
        <f t="shared" si="16"/>
        <v>7279</v>
      </c>
      <c r="E196" s="70">
        <v>2530</v>
      </c>
      <c r="F196" s="70"/>
      <c r="G196" s="70"/>
      <c r="H196" s="189">
        <f>'4.pielikums'!B187</f>
        <v>9809</v>
      </c>
      <c r="I196" s="59"/>
    </row>
    <row r="197" spans="1:9" ht="15" customHeight="1">
      <c r="A197" s="51"/>
      <c r="B197" s="73" t="s">
        <v>138</v>
      </c>
      <c r="C197" s="147"/>
      <c r="D197" s="70">
        <f t="shared" si="16"/>
        <v>6689</v>
      </c>
      <c r="E197" s="70">
        <v>4450</v>
      </c>
      <c r="F197" s="70"/>
      <c r="G197" s="70"/>
      <c r="H197" s="189">
        <f>'4.pielikums'!B188</f>
        <v>11139</v>
      </c>
      <c r="I197" s="59"/>
    </row>
    <row r="198" spans="1:9" ht="15" customHeight="1">
      <c r="A198" s="51"/>
      <c r="B198" s="72" t="s">
        <v>226</v>
      </c>
      <c r="C198" s="146"/>
      <c r="D198" s="70">
        <f t="shared" si="16"/>
        <v>9237</v>
      </c>
      <c r="E198" s="70">
        <v>700</v>
      </c>
      <c r="F198" s="70"/>
      <c r="G198" s="70"/>
      <c r="H198" s="189">
        <f>'4.pielikums'!B189</f>
        <v>9937</v>
      </c>
      <c r="I198" s="59"/>
    </row>
    <row r="199" spans="1:9" ht="15" customHeight="1">
      <c r="A199" s="51"/>
      <c r="B199" s="73" t="s">
        <v>24</v>
      </c>
      <c r="C199" s="147"/>
      <c r="D199" s="70">
        <f t="shared" si="16"/>
        <v>4508</v>
      </c>
      <c r="E199" s="70">
        <v>540</v>
      </c>
      <c r="F199" s="70"/>
      <c r="G199" s="70"/>
      <c r="H199" s="189">
        <f>'4.pielikums'!B190</f>
        <v>5048</v>
      </c>
      <c r="I199" s="59"/>
    </row>
    <row r="200" spans="1:9" ht="15" customHeight="1">
      <c r="A200" s="51"/>
      <c r="B200" s="73" t="s">
        <v>25</v>
      </c>
      <c r="C200" s="147"/>
      <c r="D200" s="70">
        <f t="shared" si="16"/>
        <v>18857</v>
      </c>
      <c r="E200" s="70">
        <v>4065</v>
      </c>
      <c r="F200" s="71"/>
      <c r="G200" s="70"/>
      <c r="H200" s="189">
        <f>'4.pielikums'!B191</f>
        <v>22922</v>
      </c>
      <c r="I200" s="59"/>
    </row>
    <row r="201" spans="1:9" ht="15" customHeight="1">
      <c r="A201" s="51"/>
      <c r="B201" s="72" t="s">
        <v>82</v>
      </c>
      <c r="C201" s="146"/>
      <c r="D201" s="70">
        <f t="shared" si="16"/>
        <v>15511</v>
      </c>
      <c r="E201" s="70">
        <v>3250</v>
      </c>
      <c r="F201" s="70"/>
      <c r="G201" s="70"/>
      <c r="H201" s="189">
        <f>'4.pielikums'!B192</f>
        <v>18761</v>
      </c>
      <c r="I201" s="59"/>
    </row>
    <row r="202" spans="1:9" ht="15" customHeight="1">
      <c r="A202" s="51"/>
      <c r="B202" s="73" t="s">
        <v>227</v>
      </c>
      <c r="C202" s="147"/>
      <c r="D202" s="70">
        <f t="shared" si="16"/>
        <v>2158</v>
      </c>
      <c r="E202" s="70">
        <v>0</v>
      </c>
      <c r="F202" s="71"/>
      <c r="G202" s="70"/>
      <c r="H202" s="189">
        <f>'4.pielikums'!B193</f>
        <v>2158</v>
      </c>
      <c r="I202" s="59"/>
    </row>
    <row r="203" spans="1:9" ht="15" customHeight="1">
      <c r="A203" s="51"/>
      <c r="B203" s="79" t="s">
        <v>102</v>
      </c>
      <c r="C203" s="146"/>
      <c r="D203" s="70">
        <f t="shared" si="16"/>
        <v>7607</v>
      </c>
      <c r="E203" s="70">
        <v>4000</v>
      </c>
      <c r="F203" s="70"/>
      <c r="G203" s="70"/>
      <c r="H203" s="189">
        <f>'4.pielikums'!B194</f>
        <v>11607</v>
      </c>
      <c r="I203" s="59"/>
    </row>
    <row r="204" spans="1:9" ht="15" customHeight="1">
      <c r="A204" s="51"/>
      <c r="B204" s="73" t="s">
        <v>143</v>
      </c>
      <c r="C204" s="147"/>
      <c r="D204" s="70">
        <f t="shared" si="16"/>
        <v>5300</v>
      </c>
      <c r="E204" s="70">
        <v>530</v>
      </c>
      <c r="F204" s="70"/>
      <c r="G204" s="70"/>
      <c r="H204" s="189">
        <f>'4.pielikums'!B195</f>
        <v>5830</v>
      </c>
      <c r="I204" s="59"/>
    </row>
    <row r="205" spans="1:9" ht="15" customHeight="1">
      <c r="A205" s="51"/>
      <c r="B205" s="73" t="s">
        <v>135</v>
      </c>
      <c r="C205" s="147"/>
      <c r="D205" s="70">
        <f t="shared" si="16"/>
        <v>3972</v>
      </c>
      <c r="E205" s="70">
        <v>100</v>
      </c>
      <c r="F205" s="70"/>
      <c r="G205" s="70"/>
      <c r="H205" s="189">
        <f>'4.pielikums'!B196</f>
        <v>4072</v>
      </c>
      <c r="I205" s="59"/>
    </row>
    <row r="206" spans="1:9" ht="15" customHeight="1">
      <c r="A206" s="51"/>
      <c r="B206" s="72" t="s">
        <v>129</v>
      </c>
      <c r="C206" s="146"/>
      <c r="D206" s="70">
        <f t="shared" si="16"/>
        <v>17345</v>
      </c>
      <c r="E206" s="70">
        <v>3280</v>
      </c>
      <c r="F206" s="70"/>
      <c r="G206" s="70"/>
      <c r="H206" s="189">
        <f>'4.pielikums'!B197</f>
        <v>20625</v>
      </c>
      <c r="I206" s="59"/>
    </row>
    <row r="207" spans="1:9" ht="15" customHeight="1">
      <c r="A207" s="51"/>
      <c r="B207" s="73" t="s">
        <v>153</v>
      </c>
      <c r="C207" s="147"/>
      <c r="D207" s="70">
        <f t="shared" si="16"/>
        <v>13081</v>
      </c>
      <c r="E207" s="70">
        <v>2657</v>
      </c>
      <c r="F207" s="70"/>
      <c r="G207" s="70"/>
      <c r="H207" s="189">
        <f>'4.pielikums'!B198</f>
        <v>15738</v>
      </c>
      <c r="I207" s="59"/>
    </row>
    <row r="208" spans="1:9" ht="15" customHeight="1">
      <c r="A208" s="51"/>
      <c r="B208" s="109" t="s">
        <v>145</v>
      </c>
      <c r="C208" s="146"/>
      <c r="D208" s="70">
        <f t="shared" si="16"/>
        <v>7738</v>
      </c>
      <c r="E208" s="70">
        <v>590</v>
      </c>
      <c r="F208" s="70"/>
      <c r="G208" s="70"/>
      <c r="H208" s="189">
        <f>'4.pielikums'!B199</f>
        <v>8328</v>
      </c>
      <c r="I208" s="59"/>
    </row>
    <row r="209" spans="1:9" ht="15" customHeight="1">
      <c r="A209" s="51"/>
      <c r="B209" s="73" t="s">
        <v>26</v>
      </c>
      <c r="C209" s="147"/>
      <c r="D209" s="70">
        <f t="shared" si="16"/>
        <v>9440</v>
      </c>
      <c r="E209" s="70">
        <v>765</v>
      </c>
      <c r="F209" s="70"/>
      <c r="G209" s="70"/>
      <c r="H209" s="189">
        <f>'4.pielikums'!B200</f>
        <v>10205</v>
      </c>
      <c r="I209" s="59"/>
    </row>
    <row r="210" spans="1:9" ht="15" customHeight="1">
      <c r="A210" s="51"/>
      <c r="B210" s="79" t="s">
        <v>100</v>
      </c>
      <c r="C210" s="146"/>
      <c r="D210" s="70">
        <f t="shared" si="16"/>
        <v>134492</v>
      </c>
      <c r="E210" s="70">
        <v>9650</v>
      </c>
      <c r="F210" s="70">
        <v>7650</v>
      </c>
      <c r="G210" s="70"/>
      <c r="H210" s="189">
        <f>'4.pielikums'!B201</f>
        <v>151792</v>
      </c>
      <c r="I210" s="59"/>
    </row>
    <row r="211" spans="1:9" ht="15" customHeight="1">
      <c r="A211" s="51"/>
      <c r="B211" s="79" t="s">
        <v>99</v>
      </c>
      <c r="C211" s="146"/>
      <c r="D211" s="70">
        <f t="shared" si="16"/>
        <v>13992</v>
      </c>
      <c r="E211" s="70">
        <v>2493</v>
      </c>
      <c r="F211" s="70"/>
      <c r="G211" s="70"/>
      <c r="H211" s="189">
        <f>'4.pielikums'!B202</f>
        <v>16485</v>
      </c>
      <c r="I211" s="59"/>
    </row>
    <row r="212" spans="1:9" ht="30" customHeight="1">
      <c r="A212" s="51"/>
      <c r="B212" s="79" t="s">
        <v>103</v>
      </c>
      <c r="C212" s="146"/>
      <c r="D212" s="70">
        <f t="shared" si="16"/>
        <v>8133</v>
      </c>
      <c r="E212" s="70">
        <v>2040</v>
      </c>
      <c r="F212" s="70"/>
      <c r="G212" s="70"/>
      <c r="H212" s="189">
        <f>'4.pielikums'!B203</f>
        <v>10173</v>
      </c>
      <c r="I212" s="59"/>
    </row>
    <row r="213" spans="1:9" ht="30" customHeight="1">
      <c r="A213" s="51"/>
      <c r="B213" s="79" t="s">
        <v>228</v>
      </c>
      <c r="C213" s="146"/>
      <c r="D213" s="70">
        <f t="shared" si="16"/>
        <v>87121</v>
      </c>
      <c r="E213" s="70">
        <v>2400</v>
      </c>
      <c r="F213" s="70">
        <v>3400</v>
      </c>
      <c r="G213" s="70"/>
      <c r="H213" s="189">
        <f>'4.pielikums'!B204+'4.pielikums'!B205+'4.pielikums'!B206</f>
        <v>92921</v>
      </c>
      <c r="I213" s="59"/>
    </row>
    <row r="214" spans="1:9" ht="15" customHeight="1">
      <c r="A214" s="17" t="s">
        <v>230</v>
      </c>
      <c r="B214" s="75" t="s">
        <v>231</v>
      </c>
      <c r="C214" s="137"/>
      <c r="D214" s="137">
        <f>D215+D216+D217+D220+D218+D219</f>
        <v>685214</v>
      </c>
      <c r="E214" s="137">
        <f>SUM(E215:E220)</f>
        <v>9323</v>
      </c>
      <c r="F214" s="137">
        <f>SUM(F215:F228)</f>
        <v>62410</v>
      </c>
      <c r="G214" s="137">
        <f>SUM(G215:G228)</f>
        <v>0</v>
      </c>
      <c r="H214" s="49">
        <f>SUM(H215:H228)</f>
        <v>757497</v>
      </c>
      <c r="I214" s="59"/>
    </row>
    <row r="215" spans="1:9" ht="15" customHeight="1">
      <c r="A215" s="51"/>
      <c r="B215" s="72" t="s">
        <v>116</v>
      </c>
      <c r="C215" s="146"/>
      <c r="D215" s="70">
        <f t="shared" si="17" ref="D215:D228">H215-E215-G215-F215-C215</f>
        <v>562614</v>
      </c>
      <c r="E215" s="70"/>
      <c r="F215" s="70">
        <v>34000</v>
      </c>
      <c r="G215" s="70"/>
      <c r="H215" s="189">
        <f>'4.pielikums'!B207</f>
        <v>596614</v>
      </c>
      <c r="I215" s="59"/>
    </row>
    <row r="216" spans="1:9" ht="15" customHeight="1">
      <c r="A216" s="51"/>
      <c r="B216" s="72" t="s">
        <v>117</v>
      </c>
      <c r="C216" s="146"/>
      <c r="D216" s="70">
        <f t="shared" si="17"/>
        <v>33026</v>
      </c>
      <c r="E216" s="70">
        <v>9323</v>
      </c>
      <c r="F216" s="70"/>
      <c r="G216" s="70"/>
      <c r="H216" s="189">
        <f>'4.pielikums'!B208</f>
        <v>42349</v>
      </c>
      <c r="I216" s="59"/>
    </row>
    <row r="217" spans="1:9" ht="30" customHeight="1">
      <c r="A217" s="51"/>
      <c r="B217" s="109" t="s">
        <v>27</v>
      </c>
      <c r="C217" s="146"/>
      <c r="D217" s="70">
        <f t="shared" si="17"/>
        <v>65300</v>
      </c>
      <c r="E217" s="70"/>
      <c r="F217" s="70"/>
      <c r="G217" s="70"/>
      <c r="H217" s="189">
        <f>'4.pielikums'!B209</f>
        <v>65300</v>
      </c>
      <c r="I217" s="59"/>
    </row>
    <row r="218" spans="1:13" s="88" customFormat="1" ht="24.75" customHeight="1">
      <c r="A218" s="169"/>
      <c r="B218" s="109" t="s">
        <v>579</v>
      </c>
      <c r="C218" s="146"/>
      <c r="D218" s="70">
        <f t="shared" si="17"/>
        <v>3999</v>
      </c>
      <c r="E218" s="70"/>
      <c r="F218" s="70"/>
      <c r="G218" s="70"/>
      <c r="H218" s="189">
        <f>'4.pielikums'!B308</f>
        <v>3999</v>
      </c>
      <c r="I218" s="59"/>
      <c r="J218"/>
      <c r="K218"/>
      <c r="L218"/>
      <c r="M218"/>
    </row>
    <row r="219" spans="1:13" s="88" customFormat="1" ht="33.75" customHeight="1">
      <c r="A219" s="169"/>
      <c r="B219" s="109" t="s">
        <v>736</v>
      </c>
      <c r="C219" s="146"/>
      <c r="D219" s="70">
        <f t="shared" si="17"/>
        <v>16275</v>
      </c>
      <c r="E219" s="70"/>
      <c r="F219" s="70"/>
      <c r="G219" s="70"/>
      <c r="H219" s="189">
        <f>'4.pielikums'!B326</f>
        <v>16275</v>
      </c>
      <c r="I219" s="59"/>
      <c r="J219"/>
      <c r="K219"/>
      <c r="L219"/>
      <c r="M219"/>
    </row>
    <row r="220" spans="1:9" ht="30" customHeight="1">
      <c r="A220" s="17"/>
      <c r="B220" s="109" t="s">
        <v>738</v>
      </c>
      <c r="C220" s="146"/>
      <c r="D220" s="70">
        <f t="shared" si="17"/>
        <v>4000</v>
      </c>
      <c r="E220" s="70"/>
      <c r="F220" s="70">
        <f>2000+3500</f>
        <v>5500</v>
      </c>
      <c r="G220" s="70"/>
      <c r="H220" s="189">
        <f>'4.pielikums'!B306</f>
        <v>9500</v>
      </c>
      <c r="I220" s="59"/>
    </row>
    <row r="221" spans="1:9" ht="30" customHeight="1">
      <c r="A221" s="17"/>
      <c r="B221" s="222" t="s">
        <v>798</v>
      </c>
      <c r="C221" s="146"/>
      <c r="D221" s="70">
        <f t="shared" si="17"/>
        <v>550</v>
      </c>
      <c r="E221" s="70"/>
      <c r="F221" s="70"/>
      <c r="G221" s="70"/>
      <c r="H221" s="49">
        <f>'4.pielikums'!B342</f>
        <v>550</v>
      </c>
      <c r="I221" s="59"/>
    </row>
    <row r="222" spans="1:9" ht="30" customHeight="1">
      <c r="A222" s="17"/>
      <c r="B222" s="222" t="s">
        <v>770</v>
      </c>
      <c r="C222" s="146"/>
      <c r="D222" s="70">
        <f t="shared" si="17"/>
        <v>0</v>
      </c>
      <c r="E222" s="70"/>
      <c r="F222" s="70">
        <v>1860</v>
      </c>
      <c r="G222" s="70"/>
      <c r="H222" s="49">
        <f>'4.pielikums'!B329</f>
        <v>1860</v>
      </c>
      <c r="I222" s="59"/>
    </row>
    <row r="223" spans="1:9" ht="53.25" customHeight="1">
      <c r="A223" s="17"/>
      <c r="B223" s="222" t="s">
        <v>771</v>
      </c>
      <c r="C223" s="146"/>
      <c r="D223" s="70">
        <f t="shared" si="17"/>
        <v>0</v>
      </c>
      <c r="E223" s="70"/>
      <c r="F223" s="70">
        <v>6050</v>
      </c>
      <c r="G223" s="70"/>
      <c r="H223" s="49">
        <f>'4.pielikums'!B330</f>
        <v>6050</v>
      </c>
      <c r="I223" s="59"/>
    </row>
    <row r="224" spans="1:9" ht="34.5" customHeight="1">
      <c r="A224" s="17"/>
      <c r="B224" s="222" t="s">
        <v>785</v>
      </c>
      <c r="C224" s="146"/>
      <c r="D224" s="70">
        <f t="shared" si="17"/>
        <v>0</v>
      </c>
      <c r="E224" s="70"/>
      <c r="F224" s="70">
        <v>1000</v>
      </c>
      <c r="G224" s="70"/>
      <c r="H224" s="49">
        <f>'4.pielikums'!B331</f>
        <v>1000</v>
      </c>
      <c r="I224" s="59"/>
    </row>
    <row r="225" spans="1:9" ht="53.25" customHeight="1">
      <c r="A225" s="17"/>
      <c r="B225" s="222" t="s">
        <v>788</v>
      </c>
      <c r="C225" s="146"/>
      <c r="D225" s="70">
        <f t="shared" si="17"/>
        <v>0</v>
      </c>
      <c r="E225" s="70"/>
      <c r="F225" s="70">
        <v>5000</v>
      </c>
      <c r="G225" s="70"/>
      <c r="H225" s="49">
        <f>'4.pielikums'!B332</f>
        <v>5000</v>
      </c>
      <c r="I225" s="59"/>
    </row>
    <row r="226" spans="1:9" ht="57" customHeight="1">
      <c r="A226" s="17"/>
      <c r="B226" s="222" t="s">
        <v>789</v>
      </c>
      <c r="C226" s="146"/>
      <c r="D226" s="70">
        <f t="shared" si="17"/>
        <v>0</v>
      </c>
      <c r="E226" s="70"/>
      <c r="F226" s="70">
        <v>1000</v>
      </c>
      <c r="G226" s="70"/>
      <c r="H226" s="49">
        <f>'4.pielikums'!B333</f>
        <v>1000</v>
      </c>
      <c r="I226" s="59"/>
    </row>
    <row r="227" spans="1:9" ht="31.5" customHeight="1">
      <c r="A227" s="17"/>
      <c r="B227" s="222" t="s">
        <v>790</v>
      </c>
      <c r="C227" s="146"/>
      <c r="D227" s="70">
        <f t="shared" si="17"/>
        <v>0</v>
      </c>
      <c r="E227" s="70"/>
      <c r="F227" s="70">
        <v>4000</v>
      </c>
      <c r="G227" s="70"/>
      <c r="H227" s="49">
        <f>'4.pielikums'!B334</f>
        <v>4000</v>
      </c>
      <c r="I227" s="59"/>
    </row>
    <row r="228" spans="1:9" ht="49.5" customHeight="1">
      <c r="A228" s="17"/>
      <c r="B228" s="222" t="s">
        <v>791</v>
      </c>
      <c r="C228" s="146"/>
      <c r="D228" s="70">
        <f t="shared" si="17"/>
        <v>0</v>
      </c>
      <c r="E228" s="70"/>
      <c r="F228" s="70">
        <v>4000</v>
      </c>
      <c r="G228" s="70"/>
      <c r="H228" s="49">
        <f>'4.pielikums'!B335</f>
        <v>4000</v>
      </c>
      <c r="I228" s="59"/>
    </row>
    <row r="229" spans="1:10" ht="15" customHeight="1">
      <c r="A229" s="17" t="s">
        <v>232</v>
      </c>
      <c r="B229" s="74" t="s">
        <v>233</v>
      </c>
      <c r="C229" s="94">
        <f>C230+C238+C245+C253+C259+C262</f>
        <v>188384.51</v>
      </c>
      <c r="D229" s="94">
        <f t="shared" si="18" ref="D229:G229">D230+D238+D245+D253+D259+D262</f>
        <v>8237349.4900000002</v>
      </c>
      <c r="E229" s="94">
        <f>E230+E238+E245+E253+E259+E262</f>
        <v>365853</v>
      </c>
      <c r="F229" s="94">
        <f t="shared" si="18"/>
        <v>5905232</v>
      </c>
      <c r="G229" s="94">
        <f t="shared" si="18"/>
        <v>451540</v>
      </c>
      <c r="H229" s="189">
        <f>H230+H238+H245+H253+H259+H262</f>
        <v>15179274</v>
      </c>
      <c r="I229" s="240"/>
      <c r="J229" s="59"/>
    </row>
    <row r="230" spans="1:9" ht="15" customHeight="1">
      <c r="A230" s="17"/>
      <c r="B230" s="74" t="s">
        <v>234</v>
      </c>
      <c r="C230" s="94">
        <f t="shared" si="19" ref="C230:H230">SUM(C231:C236)</f>
        <v>0</v>
      </c>
      <c r="D230" s="94">
        <f t="shared" si="19"/>
        <v>1980669</v>
      </c>
      <c r="E230" s="94">
        <f>SUM(E231:E236)</f>
        <v>93836</v>
      </c>
      <c r="F230" s="94">
        <f t="shared" si="19"/>
        <v>365796</v>
      </c>
      <c r="G230" s="94">
        <f t="shared" si="19"/>
        <v>0</v>
      </c>
      <c r="H230" s="189">
        <f t="shared" si="19"/>
        <v>2440301</v>
      </c>
      <c r="I230" s="59"/>
    </row>
    <row r="231" spans="1:9" ht="15" customHeight="1">
      <c r="A231" s="51"/>
      <c r="B231" s="73" t="s">
        <v>28</v>
      </c>
      <c r="C231" s="147"/>
      <c r="D231" s="70">
        <f t="shared" si="20" ref="D231:D236">H231-E231-G231-F231-C231</f>
        <v>703366</v>
      </c>
      <c r="E231" s="70">
        <v>41200</v>
      </c>
      <c r="F231" s="70">
        <f>4531+190798</f>
        <v>195329</v>
      </c>
      <c r="G231" s="70"/>
      <c r="H231" s="49">
        <f>'4.pielikums'!B210</f>
        <v>939895</v>
      </c>
      <c r="I231" s="59"/>
    </row>
    <row r="232" spans="1:9" ht="15" customHeight="1">
      <c r="A232" s="51"/>
      <c r="B232" s="73" t="s">
        <v>29</v>
      </c>
      <c r="C232" s="147"/>
      <c r="D232" s="70">
        <f t="shared" si="20"/>
        <v>487092</v>
      </c>
      <c r="E232" s="70">
        <v>24400</v>
      </c>
      <c r="F232" s="70">
        <v>85256</v>
      </c>
      <c r="G232" s="70"/>
      <c r="H232" s="49">
        <f>'4.pielikums'!B212</f>
        <v>596748</v>
      </c>
      <c r="I232" s="59"/>
    </row>
    <row r="233" spans="1:9" ht="15" customHeight="1">
      <c r="A233" s="51"/>
      <c r="B233" s="73" t="s">
        <v>30</v>
      </c>
      <c r="C233" s="147"/>
      <c r="D233" s="70">
        <f t="shared" si="20"/>
        <v>142923</v>
      </c>
      <c r="E233" s="70">
        <v>4250</v>
      </c>
      <c r="F233" s="70">
        <v>8672</v>
      </c>
      <c r="G233" s="70"/>
      <c r="H233" s="49">
        <f>'4.pielikums'!B214</f>
        <v>155845</v>
      </c>
      <c r="I233" s="59"/>
    </row>
    <row r="234" spans="1:9" ht="15" customHeight="1">
      <c r="A234" s="51"/>
      <c r="B234" s="73" t="s">
        <v>540</v>
      </c>
      <c r="C234" s="147"/>
      <c r="D234" s="70">
        <f t="shared" si="20"/>
        <v>310013</v>
      </c>
      <c r="E234" s="70">
        <v>14426</v>
      </c>
      <c r="F234" s="70">
        <v>20232</v>
      </c>
      <c r="G234" s="70"/>
      <c r="H234" s="49">
        <f>'4.pielikums'!B216</f>
        <v>344671</v>
      </c>
      <c r="I234" s="59"/>
    </row>
    <row r="235" spans="1:9" ht="30" customHeight="1">
      <c r="A235" s="51"/>
      <c r="B235" s="79" t="s">
        <v>107</v>
      </c>
      <c r="C235" s="146"/>
      <c r="D235" s="70">
        <f t="shared" si="20"/>
        <v>287179</v>
      </c>
      <c r="E235" s="70">
        <v>8300</v>
      </c>
      <c r="F235" s="70">
        <f>4531+51776</f>
        <v>56307</v>
      </c>
      <c r="G235" s="70"/>
      <c r="H235" s="49">
        <f>'4.pielikums'!B218</f>
        <v>351786</v>
      </c>
      <c r="I235" s="59"/>
    </row>
    <row r="236" spans="1:9" ht="30" customHeight="1">
      <c r="A236" s="51"/>
      <c r="B236" s="79" t="s">
        <v>630</v>
      </c>
      <c r="C236" s="146"/>
      <c r="D236" s="70">
        <f t="shared" si="20"/>
        <v>50096</v>
      </c>
      <c r="E236" s="70">
        <v>1260</v>
      </c>
      <c r="F236" s="70"/>
      <c r="G236" s="70"/>
      <c r="H236" s="49">
        <f>'4.pielikums'!B220</f>
        <v>51356</v>
      </c>
      <c r="I236" s="59"/>
    </row>
    <row r="237" spans="1:9" ht="31.5">
      <c r="A237" s="17"/>
      <c r="B237" s="144" t="s">
        <v>235</v>
      </c>
      <c r="C237" s="136"/>
      <c r="D237" s="70"/>
      <c r="E237" s="70"/>
      <c r="F237" s="70"/>
      <c r="G237" s="70"/>
      <c r="H237" s="49"/>
      <c r="I237" s="59"/>
    </row>
    <row r="238" spans="1:9" ht="15" customHeight="1">
      <c r="A238" s="17"/>
      <c r="B238" s="74" t="s">
        <v>236</v>
      </c>
      <c r="C238" s="94">
        <f t="shared" si="21" ref="C238:G238">SUM(C239:C244)</f>
        <v>0</v>
      </c>
      <c r="D238" s="94">
        <f t="shared" si="21"/>
        <v>1660351</v>
      </c>
      <c r="E238" s="94">
        <f t="shared" si="21"/>
        <v>68547</v>
      </c>
      <c r="F238" s="94">
        <f t="shared" si="21"/>
        <v>1898025</v>
      </c>
      <c r="G238" s="94">
        <f t="shared" si="21"/>
        <v>0</v>
      </c>
      <c r="H238" s="49">
        <f>SUM(H239:H244)</f>
        <v>3626923</v>
      </c>
      <c r="I238" s="59"/>
    </row>
    <row r="239" spans="1:9" ht="15" customHeight="1">
      <c r="A239" s="51"/>
      <c r="B239" s="73" t="s">
        <v>66</v>
      </c>
      <c r="C239" s="147"/>
      <c r="D239" s="70">
        <f t="shared" si="22" ref="D239:D244">H239-E239-G239-F239-C239</f>
        <v>435377</v>
      </c>
      <c r="E239" s="70">
        <v>15100</v>
      </c>
      <c r="F239" s="77">
        <f>83591+4953+18710+670640</f>
        <v>777894</v>
      </c>
      <c r="G239" s="70"/>
      <c r="H239" s="49">
        <f>'4.pielikums'!B221</f>
        <v>1228371</v>
      </c>
      <c r="I239" s="59"/>
    </row>
    <row r="240" spans="1:9" ht="15" customHeight="1">
      <c r="A240" s="51"/>
      <c r="B240" s="73" t="s">
        <v>111</v>
      </c>
      <c r="C240" s="147"/>
      <c r="D240" s="70">
        <f t="shared" si="22"/>
        <v>366115</v>
      </c>
      <c r="E240" s="70">
        <v>19853</v>
      </c>
      <c r="F240" s="70">
        <f>4752+5587+7200+107624+14448</f>
        <v>139611</v>
      </c>
      <c r="G240" s="70"/>
      <c r="H240" s="49">
        <f>'4.pielikums'!B223</f>
        <v>525579</v>
      </c>
      <c r="I240" s="59"/>
    </row>
    <row r="241" spans="1:9" ht="15" customHeight="1">
      <c r="A241" s="51"/>
      <c r="B241" s="73" t="s">
        <v>237</v>
      </c>
      <c r="C241" s="147"/>
      <c r="D241" s="70">
        <f t="shared" si="22"/>
        <v>232245</v>
      </c>
      <c r="E241" s="70">
        <v>7050</v>
      </c>
      <c r="F241" s="77">
        <f>5041+50482+3359+232976+31472</f>
        <v>323330</v>
      </c>
      <c r="G241" s="70"/>
      <c r="H241" s="49">
        <f>'4.pielikums'!B225</f>
        <v>562625</v>
      </c>
      <c r="I241" s="59"/>
    </row>
    <row r="242" spans="1:9" ht="15" customHeight="1">
      <c r="A242" s="51"/>
      <c r="B242" s="73" t="s">
        <v>31</v>
      </c>
      <c r="C242" s="147"/>
      <c r="D242" s="70">
        <f t="shared" si="22"/>
        <v>151444</v>
      </c>
      <c r="E242" s="70">
        <v>3744</v>
      </c>
      <c r="F242" s="70">
        <f>6855+2558+6240+223984</f>
        <v>239637</v>
      </c>
      <c r="G242" s="70"/>
      <c r="H242" s="49">
        <f>'4.pielikums'!B227</f>
        <v>394825</v>
      </c>
      <c r="I242" s="59"/>
    </row>
    <row r="243" spans="1:10" ht="15" customHeight="1">
      <c r="A243" s="51"/>
      <c r="B243" s="73" t="s">
        <v>169</v>
      </c>
      <c r="C243" s="147"/>
      <c r="D243" s="70">
        <f t="shared" si="22"/>
        <v>402212</v>
      </c>
      <c r="E243" s="70">
        <v>11250</v>
      </c>
      <c r="F243" s="70">
        <f>11373+42557+12471+335256+15896</f>
        <v>417553</v>
      </c>
      <c r="G243" s="70"/>
      <c r="H243" s="49">
        <f>'4.pielikums'!B229</f>
        <v>831015</v>
      </c>
      <c r="I243" s="59"/>
      <c r="J243" s="59"/>
    </row>
    <row r="244" spans="1:9" ht="30" customHeight="1">
      <c r="A244" s="51"/>
      <c r="B244" s="72" t="s">
        <v>170</v>
      </c>
      <c r="C244" s="146"/>
      <c r="D244" s="70">
        <f t="shared" si="22"/>
        <v>72958</v>
      </c>
      <c r="E244" s="70">
        <v>11550</v>
      </c>
      <c r="F244" s="70"/>
      <c r="G244" s="70"/>
      <c r="H244" s="49">
        <f>'4.pielikums'!B231</f>
        <v>84508</v>
      </c>
      <c r="I244" s="59"/>
    </row>
    <row r="245" spans="1:9" ht="15" customHeight="1">
      <c r="A245" s="17"/>
      <c r="B245" s="74" t="s">
        <v>238</v>
      </c>
      <c r="C245" s="94">
        <f>SUM(C246:C252)</f>
        <v>78870</v>
      </c>
      <c r="D245" s="94">
        <f t="shared" si="23" ref="D245:G245">SUM(D246:D251)</f>
        <v>2647819</v>
      </c>
      <c r="E245" s="94">
        <f>SUM(E246:E251)</f>
        <v>62066</v>
      </c>
      <c r="F245" s="94">
        <f t="shared" si="23"/>
        <v>2215394</v>
      </c>
      <c r="G245" s="94">
        <f t="shared" si="23"/>
        <v>0</v>
      </c>
      <c r="H245" s="49">
        <f>SUM(H246:H252)</f>
        <v>5004149</v>
      </c>
      <c r="I245" s="59"/>
    </row>
    <row r="246" spans="1:11" ht="15" customHeight="1">
      <c r="A246" s="51"/>
      <c r="B246" s="73" t="s">
        <v>32</v>
      </c>
      <c r="C246" s="147"/>
      <c r="D246" s="70">
        <f t="shared" si="24" ref="D246:D252">H246-E246-G246-F246-C246</f>
        <v>489864</v>
      </c>
      <c r="E246" s="70">
        <v>18072</v>
      </c>
      <c r="F246" s="70">
        <f>15352+499088</f>
        <v>514440</v>
      </c>
      <c r="G246" s="70"/>
      <c r="H246" s="49">
        <f>'4.pielikums'!B233</f>
        <v>1022376</v>
      </c>
      <c r="I246" s="59"/>
      <c r="K246" s="59"/>
    </row>
    <row r="247" spans="1:9" ht="15" customHeight="1">
      <c r="A247" s="51"/>
      <c r="B247" s="73" t="s">
        <v>567</v>
      </c>
      <c r="C247" s="147"/>
      <c r="D247" s="70">
        <f t="shared" si="24"/>
        <v>326412</v>
      </c>
      <c r="E247" s="70">
        <v>9373</v>
      </c>
      <c r="F247" s="70">
        <f>16603+15864+356744</f>
        <v>389211</v>
      </c>
      <c r="G247" s="70"/>
      <c r="H247" s="49">
        <f>'4.pielikums'!B235</f>
        <v>724996</v>
      </c>
      <c r="I247" s="59"/>
    </row>
    <row r="248" spans="1:9" ht="30" customHeight="1">
      <c r="A248" s="51"/>
      <c r="B248" s="72" t="s">
        <v>239</v>
      </c>
      <c r="C248" s="146"/>
      <c r="D248" s="70">
        <f t="shared" si="24"/>
        <v>497316</v>
      </c>
      <c r="E248" s="70">
        <v>4950</v>
      </c>
      <c r="F248" s="70">
        <f>11035+201376+267672</f>
        <v>480083</v>
      </c>
      <c r="G248" s="70"/>
      <c r="H248" s="49">
        <f>'4.pielikums'!B237</f>
        <v>982349</v>
      </c>
      <c r="I248" s="59"/>
    </row>
    <row r="249" spans="1:9" ht="15" customHeight="1">
      <c r="A249" s="51"/>
      <c r="B249" s="72" t="s">
        <v>110</v>
      </c>
      <c r="C249" s="146"/>
      <c r="D249" s="70">
        <f t="shared" si="24"/>
        <v>417366</v>
      </c>
      <c r="E249" s="70">
        <f>3400+2430</f>
        <v>5830</v>
      </c>
      <c r="F249" s="70">
        <f>7645+9112+166736+36128</f>
        <v>219621</v>
      </c>
      <c r="G249" s="70"/>
      <c r="H249" s="49">
        <f>'4.pielikums'!B239</f>
        <v>642817</v>
      </c>
      <c r="I249" s="59"/>
    </row>
    <row r="250" spans="1:9" ht="15" customHeight="1">
      <c r="A250" s="51"/>
      <c r="B250" s="72" t="s">
        <v>105</v>
      </c>
      <c r="C250" s="146"/>
      <c r="D250" s="70">
        <f t="shared" si="24"/>
        <v>414825</v>
      </c>
      <c r="E250" s="70">
        <v>13301</v>
      </c>
      <c r="F250" s="70">
        <f>12389+6474+9120+220328+47160</f>
        <v>295471</v>
      </c>
      <c r="G250" s="70"/>
      <c r="H250" s="49">
        <f>'4.pielikums'!B241</f>
        <v>723597</v>
      </c>
      <c r="I250" s="59"/>
    </row>
    <row r="251" spans="1:9" ht="15" customHeight="1">
      <c r="A251" s="51"/>
      <c r="B251" s="72" t="s">
        <v>113</v>
      </c>
      <c r="C251" s="146"/>
      <c r="D251" s="70">
        <f t="shared" si="24"/>
        <v>502036</v>
      </c>
      <c r="E251" s="77">
        <v>10540</v>
      </c>
      <c r="F251" s="70">
        <f>16033+11039+254816+34680</f>
        <v>316568</v>
      </c>
      <c r="G251" s="70"/>
      <c r="H251" s="49">
        <f>'4.pielikums'!B243</f>
        <v>829144</v>
      </c>
      <c r="I251" s="59"/>
    </row>
    <row r="252" spans="1:9" ht="30.75" customHeight="1">
      <c r="A252" s="51"/>
      <c r="B252" s="72" t="s">
        <v>720</v>
      </c>
      <c r="C252" s="146">
        <v>78870</v>
      </c>
      <c r="D252" s="70">
        <f t="shared" si="24"/>
        <v>0</v>
      </c>
      <c r="E252" s="77"/>
      <c r="F252" s="70"/>
      <c r="G252" s="70"/>
      <c r="H252" s="49">
        <f>'4.pielikums'!B278</f>
        <v>78870</v>
      </c>
      <c r="I252" s="59"/>
    </row>
    <row r="253" spans="1:9" ht="30" customHeight="1">
      <c r="A253" s="57"/>
      <c r="B253" s="144" t="s">
        <v>240</v>
      </c>
      <c r="C253" s="94">
        <f t="shared" si="25" ref="C253:G253">SUM(C254:C258)</f>
        <v>0</v>
      </c>
      <c r="D253" s="94">
        <f>SUM(D254:D258)</f>
        <v>875843</v>
      </c>
      <c r="E253" s="94">
        <f>SUM(E254:E258)</f>
        <v>134204</v>
      </c>
      <c r="F253" s="94">
        <f t="shared" si="25"/>
        <v>1014457</v>
      </c>
      <c r="G253" s="94">
        <f t="shared" si="25"/>
        <v>0</v>
      </c>
      <c r="H253" s="49">
        <f>SUM(H254:H258)</f>
        <v>2024504</v>
      </c>
      <c r="I253" s="59"/>
    </row>
    <row r="254" spans="1:9" ht="15" customHeight="1">
      <c r="A254" s="51"/>
      <c r="B254" s="73" t="s">
        <v>33</v>
      </c>
      <c r="C254" s="147"/>
      <c r="D254" s="70">
        <f>H254-E254-G254-F254-C254</f>
        <v>158032</v>
      </c>
      <c r="E254" s="70">
        <f>13436+420</f>
        <v>13856</v>
      </c>
      <c r="F254" s="70">
        <f>11992+496800</f>
        <v>508792</v>
      </c>
      <c r="G254" s="70"/>
      <c r="H254" s="49">
        <f>'4.pielikums'!B245</f>
        <v>680680</v>
      </c>
      <c r="I254" s="59"/>
    </row>
    <row r="255" spans="1:9" ht="15" customHeight="1">
      <c r="A255" s="51"/>
      <c r="B255" s="73" t="s">
        <v>34</v>
      </c>
      <c r="C255" s="147"/>
      <c r="D255" s="70">
        <f>H255-E255-G255-F255-C255</f>
        <v>178368</v>
      </c>
      <c r="E255" s="70">
        <v>17496</v>
      </c>
      <c r="F255" s="70">
        <f>3838+57559</f>
        <v>61397</v>
      </c>
      <c r="G255" s="70"/>
      <c r="H255" s="49">
        <f>'4.pielikums'!B246</f>
        <v>257261</v>
      </c>
      <c r="I255" s="59"/>
    </row>
    <row r="256" spans="1:9" ht="15" customHeight="1">
      <c r="A256" s="51"/>
      <c r="B256" s="73" t="s">
        <v>35</v>
      </c>
      <c r="C256" s="147"/>
      <c r="D256" s="70">
        <f>H256-E256-G256-F256-C256</f>
        <v>258176</v>
      </c>
      <c r="E256" s="70">
        <v>500</v>
      </c>
      <c r="F256" s="77">
        <f>10548+393332</f>
        <v>403880</v>
      </c>
      <c r="G256" s="70"/>
      <c r="H256" s="49">
        <f>'4.pielikums'!B247</f>
        <v>662556</v>
      </c>
      <c r="I256" s="59"/>
    </row>
    <row r="257" spans="1:9" ht="15" customHeight="1">
      <c r="A257" s="51"/>
      <c r="B257" s="73" t="s">
        <v>241</v>
      </c>
      <c r="C257" s="147"/>
      <c r="D257" s="70">
        <f>H257-E257-G257-F257-C257</f>
        <v>138748</v>
      </c>
      <c r="E257" s="70">
        <v>100000</v>
      </c>
      <c r="F257" s="71"/>
      <c r="G257" s="70"/>
      <c r="H257" s="49">
        <f>'4.pielikums'!B248</f>
        <v>238748</v>
      </c>
      <c r="I257" s="59"/>
    </row>
    <row r="258" spans="1:9" ht="15" customHeight="1">
      <c r="A258" s="51"/>
      <c r="B258" s="73" t="s">
        <v>242</v>
      </c>
      <c r="C258" s="147"/>
      <c r="D258" s="70">
        <f>H258-E258-G258-F258-C258</f>
        <v>142519</v>
      </c>
      <c r="E258" s="70">
        <v>2352</v>
      </c>
      <c r="F258" s="70">
        <f>40388</f>
        <v>40388</v>
      </c>
      <c r="G258" s="70"/>
      <c r="H258" s="49">
        <f>'4.pielikums'!B249</f>
        <v>185259</v>
      </c>
      <c r="I258" s="59"/>
    </row>
    <row r="259" spans="1:9" ht="22.5" customHeight="1">
      <c r="A259" s="17"/>
      <c r="B259" s="144" t="s">
        <v>243</v>
      </c>
      <c r="C259" s="94">
        <f t="shared" si="26" ref="C259:G259">C260</f>
        <v>0</v>
      </c>
      <c r="D259" s="94">
        <f>D260+D261</f>
        <v>353150</v>
      </c>
      <c r="E259" s="94">
        <f t="shared" si="26"/>
        <v>0</v>
      </c>
      <c r="F259" s="94">
        <f t="shared" si="26"/>
        <v>0</v>
      </c>
      <c r="G259" s="94">
        <f t="shared" si="26"/>
        <v>0</v>
      </c>
      <c r="H259" s="49">
        <f>H260+H261</f>
        <v>353150</v>
      </c>
      <c r="I259" s="59"/>
    </row>
    <row r="260" spans="1:9" ht="24" customHeight="1">
      <c r="A260" s="53"/>
      <c r="B260" s="109" t="s">
        <v>109</v>
      </c>
      <c r="C260" s="146"/>
      <c r="D260" s="70">
        <f>H260-E260-G260-F260-C260</f>
        <v>303150</v>
      </c>
      <c r="E260" s="70"/>
      <c r="F260" s="70"/>
      <c r="G260" s="70"/>
      <c r="H260" s="49">
        <f>'4.pielikums'!B250</f>
        <v>303150</v>
      </c>
      <c r="I260" s="59"/>
    </row>
    <row r="261" spans="1:9" ht="24" customHeight="1">
      <c r="A261" s="53"/>
      <c r="B261" s="109" t="s">
        <v>740</v>
      </c>
      <c r="C261" s="146"/>
      <c r="D261" s="70">
        <f>H261-E261-G261-F261-C261</f>
        <v>50000</v>
      </c>
      <c r="E261" s="70"/>
      <c r="F261" s="70"/>
      <c r="G261" s="70"/>
      <c r="H261" s="49">
        <f>'4.pielikums'!B328</f>
        <v>50000</v>
      </c>
      <c r="I261" s="59"/>
    </row>
    <row r="262" spans="1:10" ht="30" customHeight="1">
      <c r="A262" s="56"/>
      <c r="B262" s="144" t="s">
        <v>244</v>
      </c>
      <c r="C262" s="94">
        <f t="shared" si="27" ref="C262:G262">SUM(C263:C295)</f>
        <v>109514.51</v>
      </c>
      <c r="D262" s="94">
        <f t="shared" si="27"/>
        <v>719517.49</v>
      </c>
      <c r="E262" s="94">
        <f t="shared" si="27"/>
        <v>7200</v>
      </c>
      <c r="F262" s="94">
        <f t="shared" si="27"/>
        <v>411560</v>
      </c>
      <c r="G262" s="94">
        <f t="shared" si="27"/>
        <v>451540</v>
      </c>
      <c r="H262" s="49">
        <f>SUM(H263:H298)</f>
        <v>1730247</v>
      </c>
      <c r="I262" s="59"/>
      <c r="J262" s="59"/>
    </row>
    <row r="263" spans="1:9" ht="15" customHeight="1">
      <c r="A263" s="50"/>
      <c r="B263" s="72" t="s">
        <v>115</v>
      </c>
      <c r="C263" s="116"/>
      <c r="D263" s="70">
        <f t="shared" si="28" ref="D263:D298">H263-E263-G263-F263-C263</f>
        <v>47776</v>
      </c>
      <c r="E263" s="70">
        <v>5000</v>
      </c>
      <c r="F263" s="70"/>
      <c r="G263" s="70"/>
      <c r="H263" s="49">
        <f>'4.pielikums'!B252</f>
        <v>52776</v>
      </c>
      <c r="I263" s="59"/>
    </row>
    <row r="264" spans="1:9" ht="15" customHeight="1">
      <c r="A264" s="51"/>
      <c r="B264" s="79" t="s">
        <v>50</v>
      </c>
      <c r="C264" s="116">
        <v>59</v>
      </c>
      <c r="D264" s="70">
        <f t="shared" si="28"/>
        <v>0</v>
      </c>
      <c r="E264" s="70"/>
      <c r="F264" s="70">
        <v>35560</v>
      </c>
      <c r="G264" s="70"/>
      <c r="H264" s="49">
        <f>'4.pielikums'!B253</f>
        <v>35619</v>
      </c>
      <c r="I264" s="59"/>
    </row>
    <row r="265" spans="1:9" ht="15" customHeight="1">
      <c r="A265" s="51"/>
      <c r="B265" s="141" t="s">
        <v>147</v>
      </c>
      <c r="C265" s="116"/>
      <c r="D265" s="70">
        <f t="shared" si="28"/>
        <v>21214</v>
      </c>
      <c r="E265" s="70"/>
      <c r="F265" s="70"/>
      <c r="G265" s="70"/>
      <c r="H265" s="49">
        <f>'4.pielikums'!B254</f>
        <v>21214</v>
      </c>
      <c r="I265" s="59"/>
    </row>
    <row r="266" spans="1:9" ht="21" customHeight="1">
      <c r="A266" s="51"/>
      <c r="B266" s="154" t="s">
        <v>133</v>
      </c>
      <c r="C266" s="116"/>
      <c r="D266" s="70">
        <f t="shared" si="28"/>
        <v>21371</v>
      </c>
      <c r="E266" s="70"/>
      <c r="F266" s="70"/>
      <c r="G266" s="70"/>
      <c r="H266" s="49">
        <f>'4.pielikums'!B255</f>
        <v>21371</v>
      </c>
      <c r="I266" s="59"/>
    </row>
    <row r="267" spans="1:9" ht="15" customHeight="1">
      <c r="A267" s="50"/>
      <c r="B267" s="154" t="s">
        <v>134</v>
      </c>
      <c r="C267" s="116"/>
      <c r="D267" s="70">
        <f t="shared" si="28"/>
        <v>25024</v>
      </c>
      <c r="E267" s="70"/>
      <c r="F267" s="70"/>
      <c r="G267" s="70"/>
      <c r="H267" s="49">
        <f>'4.pielikums'!B257</f>
        <v>25024</v>
      </c>
      <c r="I267" s="59"/>
    </row>
    <row r="268" spans="1:9" ht="15" customHeight="1">
      <c r="A268" s="50"/>
      <c r="B268" s="154" t="s">
        <v>130</v>
      </c>
      <c r="C268" s="116"/>
      <c r="D268" s="70">
        <f t="shared" si="28"/>
        <v>24346</v>
      </c>
      <c r="E268" s="70"/>
      <c r="F268" s="70"/>
      <c r="G268" s="70"/>
      <c r="H268" s="49">
        <f>'4.pielikums'!B258</f>
        <v>24346</v>
      </c>
      <c r="I268" s="59"/>
    </row>
    <row r="269" spans="1:9" ht="15" customHeight="1">
      <c r="A269" s="50"/>
      <c r="B269" s="154" t="s">
        <v>150</v>
      </c>
      <c r="C269" s="116"/>
      <c r="D269" s="70">
        <f t="shared" si="28"/>
        <v>31832</v>
      </c>
      <c r="E269" s="70"/>
      <c r="F269" s="70"/>
      <c r="G269" s="70"/>
      <c r="H269" s="49">
        <f>'4.pielikums'!B259</f>
        <v>31832</v>
      </c>
      <c r="I269" s="59"/>
    </row>
    <row r="270" spans="1:9" ht="15" customHeight="1">
      <c r="A270" s="50"/>
      <c r="B270" s="154" t="s">
        <v>132</v>
      </c>
      <c r="C270" s="116"/>
      <c r="D270" s="70">
        <f t="shared" si="28"/>
        <v>21600</v>
      </c>
      <c r="E270" s="70"/>
      <c r="F270" s="70"/>
      <c r="G270" s="70"/>
      <c r="H270" s="49">
        <f>'4.pielikums'!B260</f>
        <v>21600</v>
      </c>
      <c r="I270" s="59"/>
    </row>
    <row r="271" spans="1:9" ht="15" customHeight="1">
      <c r="A271" s="50"/>
      <c r="B271" s="155" t="s">
        <v>140</v>
      </c>
      <c r="C271" s="116"/>
      <c r="D271" s="70">
        <f t="shared" si="28"/>
        <v>98061</v>
      </c>
      <c r="E271" s="70"/>
      <c r="F271" s="70"/>
      <c r="G271" s="70"/>
      <c r="H271" s="49">
        <f>'4.pielikums'!B261</f>
        <v>98061</v>
      </c>
      <c r="I271" s="59"/>
    </row>
    <row r="272" spans="1:9" ht="15" customHeight="1">
      <c r="A272" s="50"/>
      <c r="B272" s="154" t="s">
        <v>104</v>
      </c>
      <c r="C272" s="116"/>
      <c r="D272" s="70">
        <f t="shared" si="28"/>
        <v>62490</v>
      </c>
      <c r="E272" s="70">
        <v>1900</v>
      </c>
      <c r="F272" s="70"/>
      <c r="G272" s="70"/>
      <c r="H272" s="49">
        <f>'4.pielikums'!B262</f>
        <v>64390</v>
      </c>
      <c r="I272" s="59"/>
    </row>
    <row r="273" spans="1:9" ht="15" customHeight="1">
      <c r="A273" s="50"/>
      <c r="B273" s="154" t="s">
        <v>151</v>
      </c>
      <c r="C273" s="116"/>
      <c r="D273" s="70">
        <f t="shared" si="28"/>
        <v>35580</v>
      </c>
      <c r="E273" s="70"/>
      <c r="F273" s="70"/>
      <c r="G273" s="70"/>
      <c r="H273" s="49">
        <f>'4.pielikums'!B263</f>
        <v>35580</v>
      </c>
      <c r="I273" s="59"/>
    </row>
    <row r="274" spans="1:9" ht="15" customHeight="1">
      <c r="A274" s="50"/>
      <c r="B274" s="154" t="s">
        <v>146</v>
      </c>
      <c r="C274" s="116"/>
      <c r="D274" s="70">
        <f t="shared" si="28"/>
        <v>23419</v>
      </c>
      <c r="E274" s="70"/>
      <c r="F274" s="70"/>
      <c r="G274" s="70"/>
      <c r="H274" s="49">
        <f>'4.pielikums'!B264</f>
        <v>23419</v>
      </c>
      <c r="I274" s="59"/>
    </row>
    <row r="275" spans="1:9" ht="15" customHeight="1">
      <c r="A275" s="50"/>
      <c r="B275" s="154" t="s">
        <v>148</v>
      </c>
      <c r="C275" s="116"/>
      <c r="D275" s="70">
        <f t="shared" si="28"/>
        <v>36958</v>
      </c>
      <c r="E275" s="70">
        <v>300</v>
      </c>
      <c r="F275" s="70"/>
      <c r="G275" s="70"/>
      <c r="H275" s="49">
        <f>'4.pielikums'!B265</f>
        <v>37258</v>
      </c>
      <c r="I275" s="59"/>
    </row>
    <row r="276" spans="1:9" ht="15" customHeight="1">
      <c r="A276" s="50"/>
      <c r="B276" s="154" t="s">
        <v>139</v>
      </c>
      <c r="C276" s="116"/>
      <c r="D276" s="70">
        <f t="shared" si="28"/>
        <v>28528</v>
      </c>
      <c r="E276" s="70"/>
      <c r="F276" s="70"/>
      <c r="G276" s="70"/>
      <c r="H276" s="49">
        <f>'4.pielikums'!B266</f>
        <v>28528</v>
      </c>
      <c r="I276" s="59"/>
    </row>
    <row r="277" spans="1:9" ht="15" customHeight="1">
      <c r="A277" s="50"/>
      <c r="B277" s="72" t="s">
        <v>36</v>
      </c>
      <c r="C277" s="116"/>
      <c r="D277" s="70">
        <f t="shared" si="28"/>
        <v>6000</v>
      </c>
      <c r="E277" s="70"/>
      <c r="F277" s="70"/>
      <c r="G277" s="70"/>
      <c r="H277" s="49">
        <f>'4.pielikums'!B267</f>
        <v>6000</v>
      </c>
      <c r="I277" s="59"/>
    </row>
    <row r="278" spans="1:9" ht="15" customHeight="1">
      <c r="A278" s="50"/>
      <c r="B278" s="226" t="s">
        <v>792</v>
      </c>
      <c r="C278" s="116"/>
      <c r="D278" s="70">
        <f t="shared" si="28"/>
        <v>29040</v>
      </c>
      <c r="E278" s="70"/>
      <c r="F278" s="70"/>
      <c r="G278" s="70">
        <v>261360</v>
      </c>
      <c r="H278" s="49">
        <f>'4.pielikums'!B338</f>
        <v>290400</v>
      </c>
      <c r="I278" s="59"/>
    </row>
    <row r="279" spans="1:9" ht="30" customHeight="1">
      <c r="A279" s="50"/>
      <c r="B279" s="109" t="s">
        <v>64</v>
      </c>
      <c r="C279" s="116"/>
      <c r="D279" s="70">
        <f t="shared" si="28"/>
        <v>100000</v>
      </c>
      <c r="E279" s="138"/>
      <c r="F279" s="70"/>
      <c r="G279" s="70"/>
      <c r="H279" s="49">
        <f>'4.pielikums'!B268</f>
        <v>100000</v>
      </c>
      <c r="I279" s="59"/>
    </row>
    <row r="280" spans="1:9" ht="30" customHeight="1">
      <c r="A280" s="50"/>
      <c r="B280" s="163" t="s">
        <v>708</v>
      </c>
      <c r="C280" s="116"/>
      <c r="D280" s="70">
        <f t="shared" si="28"/>
        <v>44879</v>
      </c>
      <c r="E280" s="138"/>
      <c r="F280" s="70"/>
      <c r="G280" s="70"/>
      <c r="H280" s="49">
        <f>'4.pielikums'!B269</f>
        <v>44879</v>
      </c>
      <c r="I280" s="59"/>
    </row>
    <row r="281" spans="1:9" ht="30" customHeight="1">
      <c r="A281" s="50"/>
      <c r="B281" s="109" t="s">
        <v>47</v>
      </c>
      <c r="C281" s="116">
        <v>663</v>
      </c>
      <c r="D281" s="70">
        <f t="shared" si="28"/>
        <v>0</v>
      </c>
      <c r="E281" s="70"/>
      <c r="F281" s="70"/>
      <c r="G281" s="70"/>
      <c r="H281" s="49">
        <f>'4.pielikums'!B270</f>
        <v>663</v>
      </c>
      <c r="I281" s="59"/>
    </row>
    <row r="282" spans="1:9" ht="30" customHeight="1">
      <c r="A282" s="53"/>
      <c r="B282" s="109" t="s">
        <v>164</v>
      </c>
      <c r="C282" s="116">
        <v>8825</v>
      </c>
      <c r="D282" s="70">
        <f t="shared" si="28"/>
        <v>0</v>
      </c>
      <c r="E282" s="70"/>
      <c r="F282" s="70"/>
      <c r="G282" s="70"/>
      <c r="H282" s="49">
        <f>'4.pielikums'!B271</f>
        <v>8825</v>
      </c>
      <c r="I282" s="59"/>
    </row>
    <row r="283" spans="1:9" ht="30" customHeight="1">
      <c r="A283" s="53"/>
      <c r="B283" s="79" t="s">
        <v>106</v>
      </c>
      <c r="C283" s="116">
        <v>26933</v>
      </c>
      <c r="D283" s="70">
        <f t="shared" si="28"/>
        <v>0</v>
      </c>
      <c r="E283" s="70"/>
      <c r="F283" s="70"/>
      <c r="G283" s="70"/>
      <c r="H283" s="49">
        <f>'4.pielikums'!B272</f>
        <v>26933</v>
      </c>
      <c r="I283" s="59"/>
    </row>
    <row r="284" spans="1:9" ht="61.5" customHeight="1">
      <c r="A284" s="53"/>
      <c r="B284" s="168" t="s">
        <v>722</v>
      </c>
      <c r="C284" s="116">
        <v>30555</v>
      </c>
      <c r="D284" s="70">
        <f t="shared" si="28"/>
        <v>23510</v>
      </c>
      <c r="E284" s="70"/>
      <c r="F284" s="70"/>
      <c r="G284" s="70"/>
      <c r="H284" s="49">
        <f>'4.pielikums'!B274</f>
        <v>54065</v>
      </c>
      <c r="I284" s="59"/>
    </row>
    <row r="285" spans="1:9" ht="45" customHeight="1">
      <c r="A285" s="53"/>
      <c r="B285" s="168" t="s">
        <v>729</v>
      </c>
      <c r="C285" s="116">
        <v>476</v>
      </c>
      <c r="D285" s="70">
        <f t="shared" si="28"/>
        <v>0</v>
      </c>
      <c r="E285" s="70"/>
      <c r="F285" s="70"/>
      <c r="G285" s="70"/>
      <c r="H285" s="49">
        <f>'4.pielikums'!B273</f>
        <v>476</v>
      </c>
      <c r="I285" s="59"/>
    </row>
    <row r="286" spans="1:9" ht="24.75" customHeight="1">
      <c r="A286" s="53"/>
      <c r="B286" s="163" t="s">
        <v>615</v>
      </c>
      <c r="C286" s="116">
        <v>1448.92</v>
      </c>
      <c r="D286" s="70">
        <f t="shared" si="28"/>
        <v>0.07999999999992724</v>
      </c>
      <c r="E286" s="70"/>
      <c r="F286" s="70"/>
      <c r="G286" s="70"/>
      <c r="H286" s="49">
        <f>'4.pielikums'!B310</f>
        <v>1449</v>
      </c>
      <c r="I286" s="59"/>
    </row>
    <row r="287" spans="1:9" ht="51.75" customHeight="1">
      <c r="A287" s="53"/>
      <c r="B287" s="163" t="s">
        <v>730</v>
      </c>
      <c r="C287" s="116">
        <v>1275.5899999999999</v>
      </c>
      <c r="D287" s="70">
        <f t="shared" si="28"/>
        <v>700.41000000000008</v>
      </c>
      <c r="E287" s="70"/>
      <c r="F287" s="70"/>
      <c r="G287" s="70"/>
      <c r="H287" s="49">
        <f>'4.pielikums'!B311</f>
        <v>1976</v>
      </c>
      <c r="I287" s="59"/>
    </row>
    <row r="288" spans="1:9" ht="45.75" customHeight="1">
      <c r="A288" s="53"/>
      <c r="B288" s="163" t="s">
        <v>654</v>
      </c>
      <c r="C288" s="116">
        <v>532</v>
      </c>
      <c r="D288" s="70">
        <f t="shared" si="28"/>
        <v>3927</v>
      </c>
      <c r="E288" s="70"/>
      <c r="F288" s="70"/>
      <c r="G288" s="70"/>
      <c r="H288" s="49">
        <f>'4.pielikums'!B312</f>
        <v>4459</v>
      </c>
      <c r="I288" s="59"/>
    </row>
    <row r="289" spans="1:9" ht="35.25" customHeight="1">
      <c r="A289" s="53"/>
      <c r="B289" s="163" t="s">
        <v>647</v>
      </c>
      <c r="C289" s="116"/>
      <c r="D289" s="70">
        <f t="shared" si="28"/>
        <v>0</v>
      </c>
      <c r="E289" s="70"/>
      <c r="F289" s="70">
        <v>376000</v>
      </c>
      <c r="G289" s="70">
        <v>190180</v>
      </c>
      <c r="H289" s="49">
        <f>'4.pielikums'!B320</f>
        <v>566180</v>
      </c>
      <c r="I289" s="59"/>
    </row>
    <row r="290" spans="1:9" ht="38.25" customHeight="1">
      <c r="A290" s="53"/>
      <c r="B290" s="163" t="s">
        <v>723</v>
      </c>
      <c r="C290" s="116">
        <v>14190</v>
      </c>
      <c r="D290" s="70">
        <f t="shared" si="28"/>
        <v>5952</v>
      </c>
      <c r="E290" s="70"/>
      <c r="F290" s="70"/>
      <c r="G290" s="70"/>
      <c r="H290" s="49">
        <f>'4.pielikums'!B317</f>
        <v>20142</v>
      </c>
      <c r="I290" s="59"/>
    </row>
    <row r="291" spans="1:9" ht="45.75" customHeight="1">
      <c r="A291" s="53"/>
      <c r="B291" s="163" t="s">
        <v>652</v>
      </c>
      <c r="C291" s="116">
        <v>5561</v>
      </c>
      <c r="D291" s="70">
        <f t="shared" si="28"/>
        <v>1948</v>
      </c>
      <c r="E291" s="70"/>
      <c r="F291" s="70"/>
      <c r="G291" s="70"/>
      <c r="H291" s="49">
        <f>'4.pielikums'!B318</f>
        <v>7509</v>
      </c>
      <c r="I291" s="59"/>
    </row>
    <row r="292" spans="1:9" ht="36.75" customHeight="1">
      <c r="A292" s="53"/>
      <c r="B292" s="163" t="s">
        <v>653</v>
      </c>
      <c r="C292" s="116">
        <v>10481</v>
      </c>
      <c r="D292" s="70">
        <f t="shared" si="28"/>
        <v>0</v>
      </c>
      <c r="E292" s="70"/>
      <c r="F292" s="70"/>
      <c r="G292" s="70"/>
      <c r="H292" s="49">
        <f>'4.pielikums'!B319</f>
        <v>10481</v>
      </c>
      <c r="I292" s="59"/>
    </row>
    <row r="293" spans="1:9" ht="36.75" customHeight="1">
      <c r="A293" s="53"/>
      <c r="B293" s="163" t="s">
        <v>716</v>
      </c>
      <c r="C293" s="116">
        <v>8017</v>
      </c>
      <c r="D293" s="70">
        <f t="shared" si="28"/>
        <v>0</v>
      </c>
      <c r="E293" s="70"/>
      <c r="F293" s="70"/>
      <c r="G293" s="70"/>
      <c r="H293" s="49">
        <f>'4.pielikums'!B275</f>
        <v>8017</v>
      </c>
      <c r="I293" s="59"/>
    </row>
    <row r="294" spans="1:9" ht="94.5" customHeight="1">
      <c r="A294" s="53"/>
      <c r="B294" s="163" t="s">
        <v>719</v>
      </c>
      <c r="C294" s="116"/>
      <c r="D294" s="70">
        <f t="shared" si="28"/>
        <v>25362</v>
      </c>
      <c r="E294" s="70"/>
      <c r="F294" s="70"/>
      <c r="G294" s="70"/>
      <c r="H294" s="49">
        <f>'4.pielikums'!B276</f>
        <v>25362</v>
      </c>
      <c r="I294" s="59"/>
    </row>
    <row r="295" spans="1:9" ht="32.25" customHeight="1">
      <c r="A295" s="53"/>
      <c r="B295" s="163" t="s">
        <v>724</v>
      </c>
      <c r="C295" s="116">
        <v>498</v>
      </c>
      <c r="D295" s="70">
        <f t="shared" si="28"/>
        <v>0</v>
      </c>
      <c r="E295" s="70"/>
      <c r="F295" s="70"/>
      <c r="G295" s="70"/>
      <c r="H295" s="49">
        <f>'4.pielikums'!B316</f>
        <v>498</v>
      </c>
      <c r="I295" s="59"/>
    </row>
    <row r="296" spans="1:9" ht="32.25" customHeight="1">
      <c r="A296" s="53"/>
      <c r="B296" s="222" t="s">
        <v>776</v>
      </c>
      <c r="C296" s="116"/>
      <c r="D296" s="70">
        <f t="shared" si="28"/>
        <v>9731</v>
      </c>
      <c r="E296" s="70"/>
      <c r="F296" s="70"/>
      <c r="G296" s="70"/>
      <c r="H296" s="49">
        <f>'4.pielikums'!B337</f>
        <v>9731</v>
      </c>
      <c r="I296" s="59"/>
    </row>
    <row r="297" spans="1:9" ht="32.25" customHeight="1">
      <c r="A297" s="53"/>
      <c r="B297" s="222" t="s">
        <v>797</v>
      </c>
      <c r="C297" s="116"/>
      <c r="D297" s="70"/>
      <c r="E297" s="70"/>
      <c r="F297" s="70">
        <v>1600</v>
      </c>
      <c r="G297" s="70"/>
      <c r="H297" s="49">
        <f>'4.pielikums'!B344</f>
        <v>1600</v>
      </c>
      <c r="I297" s="59"/>
    </row>
    <row r="298" spans="1:9" ht="32.25" customHeight="1">
      <c r="A298" s="53"/>
      <c r="B298" s="222" t="s">
        <v>784</v>
      </c>
      <c r="C298" s="116"/>
      <c r="D298" s="70">
        <f t="shared" si="28"/>
        <v>0</v>
      </c>
      <c r="E298" s="70">
        <v>19584</v>
      </c>
      <c r="F298" s="70"/>
      <c r="G298" s="70"/>
      <c r="H298" s="49">
        <f>'4.pielikums'!B343</f>
        <v>19584</v>
      </c>
      <c r="I298" s="59"/>
    </row>
    <row r="299" spans="1:9" ht="15" customHeight="1">
      <c r="A299" s="17" t="s">
        <v>245</v>
      </c>
      <c r="B299" s="74" t="s">
        <v>246</v>
      </c>
      <c r="C299" s="94">
        <f>C300+C301</f>
        <v>10786</v>
      </c>
      <c r="D299" s="94">
        <f t="shared" si="29" ref="D299:D317">H299-E299-G299-F299-C299</f>
        <v>3241779</v>
      </c>
      <c r="E299" s="94">
        <f>E300+E301</f>
        <v>2209992</v>
      </c>
      <c r="F299" s="94">
        <f>F300+F301</f>
        <v>1097104</v>
      </c>
      <c r="G299" s="94">
        <f>G300+G301</f>
        <v>0</v>
      </c>
      <c r="H299" s="189">
        <f>H300+H301</f>
        <v>6559661</v>
      </c>
      <c r="I299" s="59"/>
    </row>
    <row r="300" spans="1:9" ht="15" customHeight="1">
      <c r="A300" s="17"/>
      <c r="B300" s="73" t="s">
        <v>38</v>
      </c>
      <c r="C300" s="147"/>
      <c r="D300" s="70">
        <f t="shared" si="29"/>
        <v>242064</v>
      </c>
      <c r="E300" s="70">
        <v>9000</v>
      </c>
      <c r="F300" s="70"/>
      <c r="G300" s="70"/>
      <c r="H300" s="189">
        <f>'4.pielikums'!B279</f>
        <v>251064</v>
      </c>
      <c r="I300" s="59"/>
    </row>
    <row r="301" spans="1:9" ht="30" customHeight="1">
      <c r="A301" s="56"/>
      <c r="B301" s="144" t="s">
        <v>247</v>
      </c>
      <c r="C301" s="94">
        <f>SUM(C302:C316)</f>
        <v>10786</v>
      </c>
      <c r="D301" s="94">
        <f t="shared" si="29"/>
        <v>2999715</v>
      </c>
      <c r="E301" s="94">
        <f>SUM(E302:E316)</f>
        <v>2200992</v>
      </c>
      <c r="F301" s="94">
        <f>SUM(F302:F316)</f>
        <v>1097104</v>
      </c>
      <c r="G301" s="94">
        <f>SUM(G302:G316)</f>
        <v>0</v>
      </c>
      <c r="H301" s="189">
        <f>SUM(H302:H317)</f>
        <v>6308597</v>
      </c>
      <c r="I301" s="59"/>
    </row>
    <row r="302" spans="1:9" ht="15" customHeight="1">
      <c r="A302" s="17"/>
      <c r="B302" s="73" t="s">
        <v>123</v>
      </c>
      <c r="C302" s="147"/>
      <c r="D302" s="70">
        <f t="shared" si="29"/>
        <v>699237</v>
      </c>
      <c r="E302" s="70">
        <v>1477</v>
      </c>
      <c r="F302" s="70"/>
      <c r="G302" s="70"/>
      <c r="H302" s="189">
        <f>'4.pielikums'!B280</f>
        <v>700714</v>
      </c>
      <c r="I302" s="59"/>
    </row>
    <row r="303" spans="1:9" ht="15" customHeight="1">
      <c r="A303" s="17"/>
      <c r="B303" s="73" t="s">
        <v>172</v>
      </c>
      <c r="C303" s="147"/>
      <c r="D303" s="70">
        <f t="shared" si="29"/>
        <v>1026017</v>
      </c>
      <c r="E303" s="70"/>
      <c r="F303" s="70">
        <v>277030</v>
      </c>
      <c r="G303" s="70"/>
      <c r="H303" s="189">
        <f>'4.pielikums'!B281</f>
        <v>1303047</v>
      </c>
      <c r="I303" s="59"/>
    </row>
    <row r="304" spans="1:9" ht="15" customHeight="1">
      <c r="A304" s="17"/>
      <c r="B304" s="73" t="s">
        <v>119</v>
      </c>
      <c r="C304" s="147"/>
      <c r="D304" s="70">
        <f t="shared" si="29"/>
        <v>19690</v>
      </c>
      <c r="E304" s="70"/>
      <c r="F304" s="70"/>
      <c r="G304" s="70"/>
      <c r="H304" s="189">
        <f>'4.pielikums'!B282</f>
        <v>19690</v>
      </c>
      <c r="I304" s="59"/>
    </row>
    <row r="305" spans="1:9" ht="15" customHeight="1">
      <c r="A305" s="17"/>
      <c r="B305" s="73" t="s">
        <v>39</v>
      </c>
      <c r="C305" s="147"/>
      <c r="D305" s="70">
        <f t="shared" si="29"/>
        <v>13460</v>
      </c>
      <c r="E305" s="70">
        <v>8689</v>
      </c>
      <c r="F305" s="70"/>
      <c r="G305" s="70"/>
      <c r="H305" s="189">
        <f>'4.pielikums'!B283</f>
        <v>22149</v>
      </c>
      <c r="I305" s="59"/>
    </row>
    <row r="306" spans="1:9" ht="15" customHeight="1">
      <c r="A306" s="17"/>
      <c r="B306" s="73" t="s">
        <v>49</v>
      </c>
      <c r="C306" s="147"/>
      <c r="D306" s="70">
        <f t="shared" si="29"/>
        <v>236991</v>
      </c>
      <c r="E306" s="70">
        <v>1300</v>
      </c>
      <c r="F306" s="70">
        <v>85375</v>
      </c>
      <c r="G306" s="70"/>
      <c r="H306" s="189">
        <f>'4.pielikums'!B284</f>
        <v>323666</v>
      </c>
      <c r="I306" s="59"/>
    </row>
    <row r="307" spans="1:9" ht="15" customHeight="1">
      <c r="A307" s="51"/>
      <c r="B307" s="73" t="s">
        <v>37</v>
      </c>
      <c r="C307" s="147"/>
      <c r="D307" s="70">
        <f t="shared" si="29"/>
        <v>241932</v>
      </c>
      <c r="E307" s="70">
        <v>1547144</v>
      </c>
      <c r="F307" s="70">
        <v>28728</v>
      </c>
      <c r="G307" s="70"/>
      <c r="H307" s="189">
        <f>'4.pielikums'!B285</f>
        <v>1817804</v>
      </c>
      <c r="I307" s="59"/>
    </row>
    <row r="308" spans="1:9" ht="15" customHeight="1">
      <c r="A308" s="51"/>
      <c r="B308" s="72" t="s">
        <v>79</v>
      </c>
      <c r="C308" s="146"/>
      <c r="D308" s="70">
        <f t="shared" si="29"/>
        <v>93824</v>
      </c>
      <c r="E308" s="70">
        <v>244817</v>
      </c>
      <c r="F308" s="70">
        <v>9576</v>
      </c>
      <c r="G308" s="70"/>
      <c r="H308" s="189">
        <f>'4.pielikums'!B286</f>
        <v>348217</v>
      </c>
      <c r="I308" s="59"/>
    </row>
    <row r="309" spans="1:9" ht="15" customHeight="1">
      <c r="A309" s="51"/>
      <c r="B309" s="81" t="s">
        <v>81</v>
      </c>
      <c r="C309" s="146"/>
      <c r="D309" s="70">
        <f t="shared" si="29"/>
        <v>74717</v>
      </c>
      <c r="E309" s="70">
        <v>155098</v>
      </c>
      <c r="F309" s="71"/>
      <c r="G309" s="70"/>
      <c r="H309" s="189">
        <f>'4.pielikums'!B287</f>
        <v>229815</v>
      </c>
      <c r="I309" s="59"/>
    </row>
    <row r="310" spans="1:9" ht="15" customHeight="1">
      <c r="A310" s="51"/>
      <c r="B310" s="81" t="s">
        <v>80</v>
      </c>
      <c r="C310" s="146"/>
      <c r="D310" s="70">
        <f t="shared" si="29"/>
        <v>140855</v>
      </c>
      <c r="E310" s="70">
        <v>203456</v>
      </c>
      <c r="F310" s="70"/>
      <c r="G310" s="70"/>
      <c r="H310" s="189">
        <f>'4.pielikums'!B288</f>
        <v>344311</v>
      </c>
      <c r="I310" s="59"/>
    </row>
    <row r="311" spans="1:9" ht="30" customHeight="1">
      <c r="A311" s="51"/>
      <c r="B311" s="109" t="s">
        <v>67</v>
      </c>
      <c r="C311" s="146"/>
      <c r="D311" s="70">
        <f t="shared" si="29"/>
        <v>242589</v>
      </c>
      <c r="E311" s="70">
        <v>22666</v>
      </c>
      <c r="F311" s="71"/>
      <c r="G311" s="70"/>
      <c r="H311" s="189">
        <f>'4.pielikums'!B289</f>
        <v>265255</v>
      </c>
      <c r="I311" s="59"/>
    </row>
    <row r="312" spans="1:9" ht="30" customHeight="1">
      <c r="A312" s="51"/>
      <c r="B312" s="80" t="s">
        <v>124</v>
      </c>
      <c r="C312" s="146"/>
      <c r="D312" s="70">
        <f t="shared" si="29"/>
        <v>82926</v>
      </c>
      <c r="E312" s="70"/>
      <c r="F312" s="71"/>
      <c r="G312" s="70"/>
      <c r="H312" s="189">
        <f>'4.pielikums'!B290</f>
        <v>82926</v>
      </c>
      <c r="I312" s="59"/>
    </row>
    <row r="313" spans="1:9" ht="30" customHeight="1">
      <c r="A313" s="51"/>
      <c r="B313" s="79" t="s">
        <v>125</v>
      </c>
      <c r="C313" s="146"/>
      <c r="D313" s="70">
        <f t="shared" si="29"/>
        <v>123747</v>
      </c>
      <c r="E313" s="70">
        <v>16345</v>
      </c>
      <c r="F313" s="71"/>
      <c r="G313" s="70"/>
      <c r="H313" s="189">
        <f>'4.pielikums'!B291</f>
        <v>140092</v>
      </c>
      <c r="I313" s="59"/>
    </row>
    <row r="314" spans="1:9" ht="30" customHeight="1">
      <c r="A314" s="51"/>
      <c r="B314" s="109" t="s">
        <v>249</v>
      </c>
      <c r="C314" s="146"/>
      <c r="D314" s="70">
        <f t="shared" si="29"/>
        <v>0</v>
      </c>
      <c r="E314" s="70"/>
      <c r="F314" s="70">
        <v>685761</v>
      </c>
      <c r="G314" s="70"/>
      <c r="H314" s="189">
        <f>'4.pielikums'!B292</f>
        <v>685761</v>
      </c>
      <c r="I314" s="59"/>
    </row>
    <row r="315" spans="1:9" ht="30" customHeight="1">
      <c r="A315" s="51"/>
      <c r="B315" s="72" t="s">
        <v>45</v>
      </c>
      <c r="C315" s="146">
        <v>10786</v>
      </c>
      <c r="D315" s="70">
        <f t="shared" si="29"/>
        <v>0</v>
      </c>
      <c r="E315" s="70"/>
      <c r="F315" s="70">
        <v>10634</v>
      </c>
      <c r="G315" s="70"/>
      <c r="H315" s="189">
        <f>'4.pielikums'!B293</f>
        <v>21420</v>
      </c>
      <c r="I315" s="59"/>
    </row>
    <row r="316" spans="1:9" ht="30" customHeight="1">
      <c r="A316" s="51"/>
      <c r="B316" s="143" t="s">
        <v>248</v>
      </c>
      <c r="C316" s="146"/>
      <c r="D316" s="70">
        <f t="shared" si="29"/>
        <v>3180</v>
      </c>
      <c r="E316" s="70"/>
      <c r="F316" s="70"/>
      <c r="G316" s="70"/>
      <c r="H316" s="189">
        <f>'4.pielikums'!B294+'4.pielikums'!B295+'4.pielikums'!B296+'4.pielikums'!B297+'4.pielikums'!B298+'4.pielikums'!B299</f>
        <v>3180</v>
      </c>
      <c r="I316" s="59"/>
    </row>
    <row r="317" spans="1:9" ht="30" customHeight="1">
      <c r="A317" s="51"/>
      <c r="B317" s="224" t="s">
        <v>779</v>
      </c>
      <c r="C317" s="146"/>
      <c r="D317" s="70">
        <f t="shared" si="29"/>
        <v>550</v>
      </c>
      <c r="E317" s="70"/>
      <c r="F317" s="70"/>
      <c r="G317" s="70"/>
      <c r="H317" s="189">
        <f>'4.pielikums'!B341</f>
        <v>550</v>
      </c>
      <c r="I317" s="59"/>
    </row>
    <row r="318" spans="2:9" ht="15.75">
      <c r="B318" s="107"/>
      <c r="C318" s="91"/>
      <c r="H318" s="117"/>
      <c r="I318" s="59"/>
    </row>
    <row r="319" spans="2:8" ht="18.75">
      <c r="B319" s="87" t="s">
        <v>812</v>
      </c>
      <c r="C319" s="91"/>
      <c r="H319"/>
    </row>
    <row r="320" spans="2:8" ht="15.75">
      <c r="B320" s="86"/>
      <c r="C320" s="91"/>
      <c r="H320"/>
    </row>
    <row r="321" spans="8:8" ht="15.75">
      <c r="H321"/>
    </row>
    <row r="322" spans="8:8" ht="15.75">
      <c r="H322"/>
    </row>
    <row r="323" spans="8:8" ht="15.75">
      <c r="H323"/>
    </row>
    <row r="324" spans="8:8" ht="15.75">
      <c r="H324"/>
    </row>
    <row r="325" spans="8:8" ht="15.75">
      <c r="H325"/>
    </row>
    <row r="326" spans="8:8" ht="15.75">
      <c r="H326"/>
    </row>
    <row r="327" spans="8:8" ht="15.75">
      <c r="H327"/>
    </row>
    <row r="328" spans="8:8" ht="15.75">
      <c r="H328"/>
    </row>
    <row r="329" spans="8:8" ht="15.75">
      <c r="H329"/>
    </row>
    <row r="330" spans="8:8" ht="15.75">
      <c r="H330"/>
    </row>
    <row r="331" spans="8:8" ht="15.75">
      <c r="H331"/>
    </row>
    <row r="332" spans="8:8" ht="15.75">
      <c r="H332"/>
    </row>
    <row r="333" spans="8:8" ht="15.75">
      <c r="H333"/>
    </row>
    <row r="334" spans="8:8" ht="15.75">
      <c r="H334"/>
    </row>
    <row r="335" spans="8:8" ht="15.75">
      <c r="H335"/>
    </row>
    <row r="336" spans="8:8" ht="15.75">
      <c r="H336"/>
    </row>
    <row r="337" spans="8:8" ht="15.75">
      <c r="H337"/>
    </row>
    <row r="338" spans="8:8" ht="15.75">
      <c r="H338"/>
    </row>
    <row r="339" spans="8:8" ht="15.75">
      <c r="H339"/>
    </row>
  </sheetData>
  <mergeCells count="3">
    <mergeCell ref="H14:H15"/>
    <mergeCell ref="B14:B15"/>
    <mergeCell ref="A14:A15"/>
  </mergeCells>
  <pageMargins left="0.25" right="0.25" top="0.75" bottom="0.75" header="0.3" footer="0.3"/>
  <pageSetup orientation="portrait" paperSize="9" scale="55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362"/>
  <sheetViews>
    <sheetView tabSelected="1" zoomScale="98" zoomScaleNormal="98" workbookViewId="0" topLeftCell="B1">
      <selection pane="topLeft" activeCell="K8" sqref="K8"/>
    </sheetView>
  </sheetViews>
  <sheetFormatPr defaultColWidth="9.14428571428571" defaultRowHeight="15"/>
  <cols>
    <col min="1" max="1" width="44" style="86" customWidth="1"/>
    <col min="2" max="2" width="14.5714285714286" style="86" customWidth="1"/>
    <col min="3" max="3" width="15.8571428571429" style="52" customWidth="1"/>
    <col min="4" max="4" width="13.1428571428571" style="52" customWidth="1"/>
    <col min="5" max="5" width="13" style="52" customWidth="1"/>
    <col min="6" max="6" width="13.7142857142857" style="52" customWidth="1"/>
    <col min="7" max="7" width="10.7142857142857" style="86" customWidth="1"/>
    <col min="8" max="8" width="11.8571428571429" style="86" customWidth="1"/>
    <col min="9" max="9" width="11.4285714285714" style="86" customWidth="1"/>
    <col min="10" max="10" width="10.5714285714286" style="86" customWidth="1"/>
    <col min="11" max="11" width="9.42857142857143" style="86" customWidth="1"/>
    <col min="12" max="12" width="15.7142857142857" style="86" customWidth="1"/>
    <col min="13" max="13" width="13.5714285714286" style="86" customWidth="1"/>
    <col min="14" max="14" width="14.2857142857143" style="86" customWidth="1"/>
    <col min="15" max="15" width="14" style="86" customWidth="1"/>
    <col min="16" max="16" width="12.1428571428571" style="86" customWidth="1"/>
    <col min="17" max="17" width="11.2857142857143" style="52" bestFit="1" customWidth="1"/>
    <col min="18" max="18" width="10.1428571428571" style="52" bestFit="1" customWidth="1"/>
    <col min="19" max="16384" width="9.14285714285714" style="52"/>
  </cols>
  <sheetData>
    <row r="1" spans="1:16" ht="15">
      <c r="A1" s="52"/>
      <c r="B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5.75">
      <c r="A2" s="52"/>
      <c r="B2" s="52"/>
      <c r="G2" s="52"/>
      <c r="H2" s="52"/>
      <c r="I2" s="52"/>
      <c r="J2" s="52"/>
      <c r="K2" s="52"/>
      <c r="L2" s="52"/>
      <c r="M2" s="52"/>
      <c r="N2" s="52"/>
      <c r="O2" s="52"/>
      <c r="P2" s="201" t="s">
        <v>112</v>
      </c>
    </row>
    <row r="3" spans="1:16" ht="15.75">
      <c r="A3" s="52"/>
      <c r="B3" s="52"/>
      <c r="G3" s="52"/>
      <c r="H3" s="52"/>
      <c r="I3" s="52"/>
      <c r="J3" s="52"/>
      <c r="K3" s="52"/>
      <c r="L3" s="52"/>
      <c r="M3" s="52"/>
      <c r="N3" s="52"/>
      <c r="O3" s="52"/>
      <c r="P3" s="19" t="s">
        <v>612</v>
      </c>
    </row>
    <row r="4" spans="1:16" ht="15.75">
      <c r="A4" s="52"/>
      <c r="B4" s="52"/>
      <c r="G4" s="52"/>
      <c r="H4" s="52"/>
      <c r="I4" s="52"/>
      <c r="J4" s="52"/>
      <c r="K4" s="52"/>
      <c r="L4" s="52"/>
      <c r="M4" s="52"/>
      <c r="N4" s="52"/>
      <c r="O4" s="52"/>
      <c r="P4" s="19" t="s">
        <v>815</v>
      </c>
    </row>
    <row r="5" spans="1:16" ht="15.75">
      <c r="A5" s="52"/>
      <c r="B5" s="52"/>
      <c r="G5" s="52"/>
      <c r="H5" s="52"/>
      <c r="I5" s="52"/>
      <c r="J5" s="52"/>
      <c r="K5" s="52"/>
      <c r="L5" s="52"/>
      <c r="M5" s="52"/>
      <c r="N5" s="52"/>
      <c r="O5" s="52"/>
      <c r="P5" s="19" t="s">
        <v>763</v>
      </c>
    </row>
    <row r="6" spans="1:16" ht="15.75">
      <c r="A6" s="52"/>
      <c r="B6" s="52"/>
      <c r="G6" s="206"/>
      <c r="H6" s="206"/>
      <c r="I6" s="206"/>
      <c r="J6" s="206"/>
      <c r="K6" s="206"/>
      <c r="L6" s="206"/>
      <c r="M6" s="207"/>
      <c r="N6" s="206"/>
      <c r="O6" s="206"/>
      <c r="P6" s="19" t="s">
        <v>623</v>
      </c>
    </row>
    <row r="7" spans="1:16" ht="15.75">
      <c r="A7" s="52"/>
      <c r="B7" s="52"/>
      <c r="G7" s="206"/>
      <c r="H7" s="206"/>
      <c r="I7" s="206"/>
      <c r="J7" s="206"/>
      <c r="K7" s="206"/>
      <c r="L7" s="206"/>
      <c r="M7" s="207"/>
      <c r="N7" s="206"/>
      <c r="O7" s="206"/>
      <c r="P7" s="19"/>
    </row>
    <row r="8" spans="1:16" ht="15.75" customHeight="1">
      <c r="A8" s="52"/>
      <c r="B8" s="52"/>
      <c r="G8" s="206"/>
      <c r="H8" s="206"/>
      <c r="I8" s="206"/>
      <c r="J8" s="206"/>
      <c r="K8" s="206"/>
      <c r="L8" s="206"/>
      <c r="M8" s="207"/>
      <c r="N8" s="206"/>
      <c r="O8" s="206"/>
      <c r="P8" s="208" t="s">
        <v>112</v>
      </c>
    </row>
    <row r="9" spans="1:16" ht="16.5" customHeight="1">
      <c r="A9" s="52"/>
      <c r="B9" s="52"/>
      <c r="G9" s="206"/>
      <c r="H9" s="206"/>
      <c r="I9" s="206"/>
      <c r="J9" s="206"/>
      <c r="K9" s="206"/>
      <c r="L9" s="206"/>
      <c r="M9" s="207"/>
      <c r="N9" s="206"/>
      <c r="O9" s="206"/>
      <c r="P9" s="206" t="s">
        <v>612</v>
      </c>
    </row>
    <row r="10" spans="1:16" ht="15" customHeight="1">
      <c r="A10" s="52"/>
      <c r="B10" s="52"/>
      <c r="G10" s="206"/>
      <c r="H10" s="206"/>
      <c r="I10" s="206"/>
      <c r="J10" s="206"/>
      <c r="K10" s="206"/>
      <c r="L10" s="206"/>
      <c r="M10" s="207"/>
      <c r="N10" s="206"/>
      <c r="O10" s="206"/>
      <c r="P10" s="206" t="s">
        <v>759</v>
      </c>
    </row>
    <row r="11" spans="1:16" ht="15" customHeight="1">
      <c r="A11" s="52"/>
      <c r="B11" s="52"/>
      <c r="G11" s="206"/>
      <c r="H11" s="206"/>
      <c r="I11" s="206"/>
      <c r="J11" s="206"/>
      <c r="K11" s="206"/>
      <c r="L11" s="206"/>
      <c r="M11" s="207"/>
      <c r="N11" s="206"/>
      <c r="O11" s="206"/>
      <c r="P11" s="206" t="s">
        <v>623</v>
      </c>
    </row>
    <row r="12" spans="1:16" ht="15" customHeight="1">
      <c r="A12" s="52"/>
      <c r="B12" s="52"/>
      <c r="G12" s="206"/>
      <c r="H12" s="206"/>
      <c r="I12" s="206"/>
      <c r="J12" s="206"/>
      <c r="K12" s="206"/>
      <c r="L12" s="206"/>
      <c r="M12" s="207"/>
      <c r="N12" s="206"/>
      <c r="O12" s="206"/>
      <c r="P12" s="206"/>
    </row>
    <row r="13" spans="1:16" ht="15" customHeight="1">
      <c r="A13" s="52"/>
      <c r="B13" s="52"/>
      <c r="G13" s="207"/>
      <c r="H13" s="207"/>
      <c r="I13" s="207"/>
      <c r="J13" s="207"/>
      <c r="K13" s="207"/>
      <c r="L13" s="207"/>
      <c r="M13" s="207"/>
      <c r="N13" s="207"/>
      <c r="O13" s="207"/>
      <c r="P13" s="207"/>
    </row>
    <row r="14" spans="1:16" ht="21" customHeight="1">
      <c r="A14" s="244" t="s">
        <v>634</v>
      </c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</row>
    <row r="15" spans="1:16" ht="15" customHeight="1">
      <c r="A15" s="233"/>
      <c r="B15" s="52"/>
      <c r="C15" s="3"/>
      <c r="D15" s="3"/>
      <c r="E15" s="3"/>
      <c r="F15" s="3"/>
      <c r="G15" s="52"/>
      <c r="H15" s="52"/>
      <c r="I15" s="52"/>
      <c r="J15" s="52"/>
      <c r="K15" s="52"/>
      <c r="L15" s="52"/>
      <c r="M15" s="52"/>
      <c r="N15" s="52"/>
      <c r="O15" s="52"/>
      <c r="P15" s="52"/>
    </row>
    <row r="16" spans="1:16" s="60" customFormat="1" ht="15" customHeight="1">
      <c r="A16" s="1" t="s">
        <v>0</v>
      </c>
      <c r="B16" s="10" t="s">
        <v>626</v>
      </c>
      <c r="C16" s="2" t="s">
        <v>74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s="60" customFormat="1" ht="15" customHeight="1">
      <c r="A17" s="1"/>
      <c r="B17" s="10"/>
      <c r="C17" s="63">
        <v>1000</v>
      </c>
      <c r="D17" s="63">
        <v>1100</v>
      </c>
      <c r="E17" s="63">
        <v>1200</v>
      </c>
      <c r="F17" s="63">
        <v>2000</v>
      </c>
      <c r="G17" s="119">
        <v>2100</v>
      </c>
      <c r="H17" s="119">
        <v>2200</v>
      </c>
      <c r="I17" s="119">
        <v>2300</v>
      </c>
      <c r="J17" s="119">
        <v>2400</v>
      </c>
      <c r="K17" s="119">
        <v>2500</v>
      </c>
      <c r="L17" s="119">
        <v>3000</v>
      </c>
      <c r="M17" s="119">
        <v>4000</v>
      </c>
      <c r="N17" s="119">
        <v>5000</v>
      </c>
      <c r="O17" s="120">
        <v>6000</v>
      </c>
      <c r="P17" s="120">
        <v>7000</v>
      </c>
    </row>
    <row r="18" spans="1:16" s="60" customFormat="1" ht="129" customHeight="1">
      <c r="A18" s="1"/>
      <c r="B18" s="10"/>
      <c r="C18" s="170" t="s">
        <v>509</v>
      </c>
      <c r="D18" s="171" t="s">
        <v>565</v>
      </c>
      <c r="E18" s="171" t="s">
        <v>566</v>
      </c>
      <c r="F18" s="171" t="s">
        <v>70</v>
      </c>
      <c r="G18" s="120" t="s">
        <v>173</v>
      </c>
      <c r="H18" s="120" t="s">
        <v>174</v>
      </c>
      <c r="I18" s="120" t="s">
        <v>175</v>
      </c>
      <c r="J18" s="120" t="s">
        <v>564</v>
      </c>
      <c r="K18" s="120" t="s">
        <v>176</v>
      </c>
      <c r="L18" s="120" t="s">
        <v>71</v>
      </c>
      <c r="M18" s="120" t="s">
        <v>72</v>
      </c>
      <c r="N18" s="120" t="s">
        <v>73</v>
      </c>
      <c r="O18" s="120" t="s">
        <v>68</v>
      </c>
      <c r="P18" s="120" t="s">
        <v>69</v>
      </c>
    </row>
    <row r="19" spans="1:16" ht="24.75" customHeight="1">
      <c r="A19" s="97" t="s">
        <v>1</v>
      </c>
      <c r="B19" s="96">
        <f t="shared" si="0" ref="B19:B92">SUM(C19+F19,L19:P19)</f>
        <v>1521395</v>
      </c>
      <c r="C19" s="166">
        <f>D19+E19</f>
        <v>1283977</v>
      </c>
      <c r="D19" s="166">
        <f>1043875+D20</f>
        <v>1035934</v>
      </c>
      <c r="E19" s="166">
        <f>249916+E20</f>
        <v>248043</v>
      </c>
      <c r="F19" s="166">
        <f>SUM(G19:K19)</f>
        <v>235668</v>
      </c>
      <c r="G19" s="121">
        <v>1480</v>
      </c>
      <c r="H19" s="121">
        <f>196218+10000</f>
        <v>206218</v>
      </c>
      <c r="I19" s="121">
        <v>25970</v>
      </c>
      <c r="J19" s="121"/>
      <c r="K19" s="121">
        <v>2000</v>
      </c>
      <c r="L19" s="121"/>
      <c r="M19" s="121"/>
      <c r="N19" s="121">
        <v>0</v>
      </c>
      <c r="O19" s="121"/>
      <c r="P19" s="121">
        <v>1750</v>
      </c>
    </row>
    <row r="20" spans="1:16" ht="24.75" customHeight="1">
      <c r="A20" s="191" t="s">
        <v>760</v>
      </c>
      <c r="B20" s="96">
        <f t="shared" si="0"/>
        <v>-9814</v>
      </c>
      <c r="C20" s="166">
        <f>D20+E20</f>
        <v>-9814</v>
      </c>
      <c r="D20" s="166">
        <v>-7941</v>
      </c>
      <c r="E20" s="166">
        <v>-1873</v>
      </c>
      <c r="F20" s="166">
        <f>SUM(G20:K20)</f>
        <v>0</v>
      </c>
      <c r="G20" s="121"/>
      <c r="H20" s="121"/>
      <c r="I20" s="121"/>
      <c r="J20" s="121"/>
      <c r="K20" s="121"/>
      <c r="L20" s="121"/>
      <c r="M20" s="121"/>
      <c r="N20" s="121"/>
      <c r="O20" s="121"/>
      <c r="P20" s="121"/>
    </row>
    <row r="21" spans="1:16" ht="22.15" customHeight="1">
      <c r="A21" s="97" t="s">
        <v>2</v>
      </c>
      <c r="B21" s="96">
        <f t="shared" si="0"/>
        <v>127701</v>
      </c>
      <c r="C21" s="166">
        <f t="shared" si="1" ref="C21:C27">D21+E21</f>
        <v>127701</v>
      </c>
      <c r="D21" s="166">
        <v>103555</v>
      </c>
      <c r="E21" s="166">
        <v>24146</v>
      </c>
      <c r="F21" s="166">
        <f>SUM(G21:K21)</f>
        <v>0</v>
      </c>
      <c r="G21" s="121"/>
      <c r="H21" s="121"/>
      <c r="I21" s="121"/>
      <c r="J21" s="121"/>
      <c r="K21" s="121"/>
      <c r="L21" s="121"/>
      <c r="M21" s="121"/>
      <c r="N21" s="121"/>
      <c r="O21" s="121"/>
      <c r="P21" s="121"/>
    </row>
    <row r="22" spans="1:16" ht="36.6" customHeight="1">
      <c r="A22" s="97" t="s">
        <v>118</v>
      </c>
      <c r="B22" s="96">
        <f t="shared" si="0"/>
        <v>236349</v>
      </c>
      <c r="C22" s="166">
        <f t="shared" si="1"/>
        <v>0</v>
      </c>
      <c r="D22" s="166"/>
      <c r="E22" s="166"/>
      <c r="F22" s="166">
        <f>SUM(G22:K22)</f>
        <v>0</v>
      </c>
      <c r="G22" s="121"/>
      <c r="H22" s="121"/>
      <c r="I22" s="121"/>
      <c r="J22" s="121"/>
      <c r="K22" s="121"/>
      <c r="L22" s="121"/>
      <c r="M22" s="121"/>
      <c r="N22" s="121"/>
      <c r="O22" s="121">
        <v>236349</v>
      </c>
      <c r="P22" s="121"/>
    </row>
    <row r="23" spans="1:16" ht="19.15" customHeight="1">
      <c r="A23" s="97" t="s">
        <v>149</v>
      </c>
      <c r="B23" s="96">
        <f t="shared" si="0"/>
        <v>26000</v>
      </c>
      <c r="C23" s="166">
        <f>D23+E23</f>
        <v>26000</v>
      </c>
      <c r="D23" s="166">
        <v>21037</v>
      </c>
      <c r="E23" s="166">
        <v>4963</v>
      </c>
      <c r="F23" s="166">
        <f>SUM(G23:K23)</f>
        <v>0</v>
      </c>
      <c r="G23" s="121"/>
      <c r="H23" s="121"/>
      <c r="I23" s="121"/>
      <c r="J23" s="121"/>
      <c r="K23" s="121"/>
      <c r="L23" s="121"/>
      <c r="M23" s="121"/>
      <c r="N23" s="121"/>
      <c r="O23" s="121"/>
      <c r="P23" s="121"/>
    </row>
    <row r="24" spans="1:16" ht="36.75" customHeight="1">
      <c r="A24" s="97" t="s">
        <v>711</v>
      </c>
      <c r="B24" s="96">
        <f t="shared" si="0"/>
        <v>100000</v>
      </c>
      <c r="C24" s="166">
        <f>D24+E24</f>
        <v>100000</v>
      </c>
      <c r="D24" s="166"/>
      <c r="E24" s="166">
        <v>100000</v>
      </c>
      <c r="F24" s="166"/>
      <c r="G24" s="121"/>
      <c r="H24" s="121"/>
      <c r="I24" s="121"/>
      <c r="J24" s="121"/>
      <c r="K24" s="121"/>
      <c r="L24" s="121"/>
      <c r="M24" s="121"/>
      <c r="N24" s="121"/>
      <c r="O24" s="121"/>
      <c r="P24" s="121"/>
    </row>
    <row r="25" spans="1:16" ht="18.6" customHeight="1">
      <c r="A25" s="118" t="s">
        <v>607</v>
      </c>
      <c r="B25" s="96">
        <f t="shared" si="0"/>
        <v>124548</v>
      </c>
      <c r="C25" s="166">
        <f>D25+E25</f>
        <v>118061</v>
      </c>
      <c r="D25" s="166">
        <f>86331+D26</f>
        <v>95822</v>
      </c>
      <c r="E25" s="166">
        <f>20366+E26</f>
        <v>22239</v>
      </c>
      <c r="F25" s="166">
        <f>SUM(G25:K25)</f>
        <v>6487</v>
      </c>
      <c r="G25" s="121"/>
      <c r="H25" s="121">
        <f>4000+H26</f>
        <v>2450</v>
      </c>
      <c r="I25" s="121"/>
      <c r="J25" s="121">
        <v>4037</v>
      </c>
      <c r="K25" s="121"/>
      <c r="L25" s="121"/>
      <c r="M25" s="121"/>
      <c r="N25" s="121"/>
      <c r="O25" s="121"/>
      <c r="P25" s="121"/>
    </row>
    <row r="26" spans="1:16" ht="18.6" customHeight="1">
      <c r="A26" s="192" t="s">
        <v>760</v>
      </c>
      <c r="B26" s="96">
        <f t="shared" si="0"/>
        <v>9814</v>
      </c>
      <c r="C26" s="166">
        <f>D26+E26</f>
        <v>11364</v>
      </c>
      <c r="D26" s="166">
        <f>7941+1550</f>
        <v>9491</v>
      </c>
      <c r="E26" s="166">
        <v>1873</v>
      </c>
      <c r="F26" s="166">
        <f>SUM(G26:K26)</f>
        <v>-1550</v>
      </c>
      <c r="G26" s="121"/>
      <c r="H26" s="121">
        <v>-1550</v>
      </c>
      <c r="I26" s="121"/>
      <c r="J26" s="121"/>
      <c r="K26" s="121"/>
      <c r="L26" s="121"/>
      <c r="M26" s="121"/>
      <c r="N26" s="121"/>
      <c r="O26" s="121"/>
      <c r="P26" s="121"/>
    </row>
    <row r="27" spans="1:16" ht="23.25" customHeight="1">
      <c r="A27" s="118" t="s">
        <v>640</v>
      </c>
      <c r="B27" s="96">
        <f t="shared" si="0"/>
        <v>136744</v>
      </c>
      <c r="C27" s="166">
        <f t="shared" si="1"/>
        <v>120693</v>
      </c>
      <c r="D27" s="166">
        <v>97656</v>
      </c>
      <c r="E27" s="166">
        <v>23037</v>
      </c>
      <c r="F27" s="166">
        <f>SUM(G27:K27)</f>
        <v>14781</v>
      </c>
      <c r="G27" s="121">
        <v>20</v>
      </c>
      <c r="H27" s="121">
        <f>2345+800+685</f>
        <v>3830</v>
      </c>
      <c r="I27" s="121">
        <f>3503+1166+3376+560+1867</f>
        <v>10472</v>
      </c>
      <c r="J27" s="121"/>
      <c r="K27" s="121">
        <f>144+115+200</f>
        <v>459</v>
      </c>
      <c r="L27" s="121"/>
      <c r="M27" s="121"/>
      <c r="N27" s="121">
        <v>1270</v>
      </c>
      <c r="O27" s="121"/>
      <c r="P27" s="121"/>
    </row>
    <row r="28" spans="1:16" ht="18" customHeight="1">
      <c r="A28" s="118" t="s">
        <v>641</v>
      </c>
      <c r="B28" s="96">
        <f>SUM(C28+F28,L28:P28)</f>
        <v>109815</v>
      </c>
      <c r="C28" s="166">
        <f>D28+E28</f>
        <v>84269</v>
      </c>
      <c r="D28" s="166">
        <v>68184</v>
      </c>
      <c r="E28" s="166">
        <v>16085</v>
      </c>
      <c r="F28" s="166">
        <f>SUM(G28:K28)</f>
        <v>25546</v>
      </c>
      <c r="G28" s="121"/>
      <c r="H28" s="121">
        <f>7144+792+850+1200+H29</f>
        <v>9905</v>
      </c>
      <c r="I28" s="121">
        <f>9338+1267+1760+1797+1269</f>
        <v>15431</v>
      </c>
      <c r="J28" s="121"/>
      <c r="K28" s="121">
        <f>210+150+K29</f>
        <v>210</v>
      </c>
      <c r="L28" s="121"/>
      <c r="M28" s="121"/>
      <c r="N28" s="121"/>
      <c r="O28" s="121"/>
      <c r="P28" s="121"/>
    </row>
    <row r="29" spans="1:16" ht="23.25" customHeight="1">
      <c r="A29" s="192" t="s">
        <v>760</v>
      </c>
      <c r="B29" s="96">
        <f>SUM(C29+F29,L29:P29)</f>
        <v>-231</v>
      </c>
      <c r="C29" s="166">
        <f>D29+E29</f>
        <v>0</v>
      </c>
      <c r="D29" s="166"/>
      <c r="E29" s="166"/>
      <c r="F29" s="166">
        <f t="shared" si="2" ref="F29:F41">SUM(G29:K29)</f>
        <v>-231</v>
      </c>
      <c r="G29" s="121"/>
      <c r="H29" s="121">
        <v>-81</v>
      </c>
      <c r="I29" s="121"/>
      <c r="J29" s="121"/>
      <c r="K29" s="121">
        <v>-150</v>
      </c>
      <c r="L29" s="121"/>
      <c r="M29" s="121"/>
      <c r="N29" s="121"/>
      <c r="O29" s="121"/>
      <c r="P29" s="121"/>
    </row>
    <row r="30" spans="1:16" ht="21" customHeight="1">
      <c r="A30" s="97" t="s">
        <v>642</v>
      </c>
      <c r="B30" s="96">
        <f t="shared" si="0"/>
        <v>93037</v>
      </c>
      <c r="C30" s="166">
        <f>D30++E30</f>
        <v>73832</v>
      </c>
      <c r="D30" s="166">
        <v>58888</v>
      </c>
      <c r="E30" s="166">
        <v>14944</v>
      </c>
      <c r="F30" s="166">
        <f t="shared" si="2"/>
        <v>19205</v>
      </c>
      <c r="G30" s="121">
        <v>40</v>
      </c>
      <c r="H30" s="121">
        <f>8820+600</f>
        <v>9420</v>
      </c>
      <c r="I30" s="121">
        <f>4150+1175+3190+920</f>
        <v>9435</v>
      </c>
      <c r="J30" s="121"/>
      <c r="K30" s="121">
        <f>110+200</f>
        <v>310</v>
      </c>
      <c r="L30" s="121"/>
      <c r="M30" s="121"/>
      <c r="N30" s="121"/>
      <c r="O30" s="121"/>
      <c r="P30" s="121"/>
    </row>
    <row r="31" spans="1:16" ht="30.75" customHeight="1">
      <c r="A31" s="97" t="s">
        <v>643</v>
      </c>
      <c r="B31" s="96">
        <f t="shared" si="0"/>
        <v>134355</v>
      </c>
      <c r="C31" s="166">
        <f t="shared" si="3" ref="C31:C41">D31+E31</f>
        <v>102820</v>
      </c>
      <c r="D31" s="166">
        <v>83194</v>
      </c>
      <c r="E31" s="166">
        <v>19626</v>
      </c>
      <c r="F31" s="166">
        <f t="shared" si="2"/>
        <v>31535</v>
      </c>
      <c r="G31" s="121"/>
      <c r="H31" s="121">
        <f>17236+650+513+447</f>
        <v>18846</v>
      </c>
      <c r="I31" s="121">
        <f>3320+1585+1520+3235+2160</f>
        <v>11820</v>
      </c>
      <c r="J31" s="121"/>
      <c r="K31" s="121">
        <f>165+220+274+210</f>
        <v>869</v>
      </c>
      <c r="L31" s="121"/>
      <c r="M31" s="121"/>
      <c r="N31" s="121"/>
      <c r="O31" s="121"/>
      <c r="P31" s="121"/>
    </row>
    <row r="32" spans="1:16" ht="36" customHeight="1">
      <c r="A32" s="97" t="s">
        <v>75</v>
      </c>
      <c r="B32" s="96">
        <f t="shared" si="0"/>
        <v>122684</v>
      </c>
      <c r="C32" s="166">
        <f t="shared" si="3"/>
        <v>80160</v>
      </c>
      <c r="D32" s="166">
        <v>64402</v>
      </c>
      <c r="E32" s="166">
        <v>15758</v>
      </c>
      <c r="F32" s="166">
        <f>SUM(G32:K32)</f>
        <v>11666</v>
      </c>
      <c r="G32" s="121">
        <v>50</v>
      </c>
      <c r="H32" s="121">
        <v>9366</v>
      </c>
      <c r="I32" s="121">
        <v>2250</v>
      </c>
      <c r="J32" s="121"/>
      <c r="K32" s="121"/>
      <c r="L32" s="121"/>
      <c r="M32" s="121"/>
      <c r="N32" s="121">
        <v>30858</v>
      </c>
      <c r="O32" s="121"/>
      <c r="P32" s="121"/>
    </row>
    <row r="33" spans="1:16" ht="24.75" customHeight="1">
      <c r="A33" s="97" t="s">
        <v>3</v>
      </c>
      <c r="B33" s="96">
        <f>SUM(C33+F33,L33:P33)</f>
        <v>2000</v>
      </c>
      <c r="C33" s="166">
        <f t="shared" si="3"/>
        <v>0</v>
      </c>
      <c r="D33" s="166"/>
      <c r="E33" s="166"/>
      <c r="F33" s="166">
        <f t="shared" si="2"/>
        <v>2000</v>
      </c>
      <c r="G33" s="121"/>
      <c r="H33" s="121">
        <f>5000+H34</f>
        <v>2000</v>
      </c>
      <c r="I33" s="121"/>
      <c r="J33" s="121"/>
      <c r="K33" s="121"/>
      <c r="L33" s="121"/>
      <c r="M33" s="121"/>
      <c r="N33" s="121"/>
      <c r="O33" s="121"/>
      <c r="P33" s="121"/>
    </row>
    <row r="34" spans="1:16" ht="24.75" customHeight="1">
      <c r="A34" s="191" t="s">
        <v>760</v>
      </c>
      <c r="B34" s="96">
        <f>SUM(C34+F34,L34:P34)</f>
        <v>-3000</v>
      </c>
      <c r="C34" s="166">
        <f t="shared" si="3"/>
        <v>0</v>
      </c>
      <c r="D34" s="166"/>
      <c r="E34" s="166"/>
      <c r="F34" s="166">
        <f t="shared" si="2"/>
        <v>-3000</v>
      </c>
      <c r="G34" s="121"/>
      <c r="H34" s="121">
        <f>-450-500-550-950-550</f>
        <v>-3000</v>
      </c>
      <c r="I34" s="121"/>
      <c r="J34" s="121"/>
      <c r="K34" s="121"/>
      <c r="L34" s="121"/>
      <c r="M34" s="121"/>
      <c r="N34" s="121"/>
      <c r="O34" s="121"/>
      <c r="P34" s="121"/>
    </row>
    <row r="35" spans="1:16" ht="21.75" customHeight="1">
      <c r="A35" s="97" t="s">
        <v>4</v>
      </c>
      <c r="B35" s="96">
        <f t="shared" si="0"/>
        <v>48584</v>
      </c>
      <c r="C35" s="166">
        <f t="shared" si="3"/>
        <v>0</v>
      </c>
      <c r="D35" s="166"/>
      <c r="E35" s="166"/>
      <c r="F35" s="166">
        <f t="shared" si="2"/>
        <v>48584</v>
      </c>
      <c r="G35" s="121"/>
      <c r="H35" s="121">
        <v>48584</v>
      </c>
      <c r="I35" s="121"/>
      <c r="J35" s="121"/>
      <c r="K35" s="121"/>
      <c r="L35" s="121"/>
      <c r="M35" s="121"/>
      <c r="N35" s="121"/>
      <c r="O35" s="121"/>
      <c r="P35" s="121"/>
    </row>
    <row r="36" spans="1:16" ht="30" customHeight="1">
      <c r="A36" s="97" t="s">
        <v>121</v>
      </c>
      <c r="B36" s="96">
        <f t="shared" si="0"/>
        <v>806479</v>
      </c>
      <c r="C36" s="166">
        <f t="shared" si="3"/>
        <v>0</v>
      </c>
      <c r="D36" s="166"/>
      <c r="E36" s="166"/>
      <c r="F36" s="166">
        <f t="shared" si="2"/>
        <v>20020</v>
      </c>
      <c r="G36" s="121"/>
      <c r="H36" s="121">
        <v>20020</v>
      </c>
      <c r="I36" s="121"/>
      <c r="J36" s="121"/>
      <c r="K36" s="121"/>
      <c r="L36" s="121"/>
      <c r="M36" s="121">
        <v>786459</v>
      </c>
      <c r="N36" s="121"/>
      <c r="O36" s="121"/>
      <c r="P36" s="121"/>
    </row>
    <row r="37" spans="1:16" ht="21.6" customHeight="1">
      <c r="A37" s="97" t="s">
        <v>5</v>
      </c>
      <c r="B37" s="96">
        <f>SUM(C37+F37,L37:P37)</f>
        <v>84269</v>
      </c>
      <c r="C37" s="166">
        <f t="shared" si="3"/>
        <v>66249</v>
      </c>
      <c r="D37" s="166">
        <v>53604</v>
      </c>
      <c r="E37" s="166">
        <v>12645</v>
      </c>
      <c r="F37" s="166">
        <f t="shared" si="2"/>
        <v>18020</v>
      </c>
      <c r="G37" s="121">
        <f>140+G38</f>
        <v>310</v>
      </c>
      <c r="H37" s="121">
        <f>14455+H38</f>
        <v>14285</v>
      </c>
      <c r="I37" s="121">
        <v>3425</v>
      </c>
      <c r="J37" s="121"/>
      <c r="K37" s="121"/>
      <c r="L37" s="121"/>
      <c r="M37" s="121"/>
      <c r="N37" s="121"/>
      <c r="O37" s="121"/>
      <c r="P37" s="121"/>
    </row>
    <row r="38" spans="1:16" ht="21.6" customHeight="1">
      <c r="A38" s="191" t="s">
        <v>760</v>
      </c>
      <c r="B38" s="96">
        <f t="shared" si="0"/>
        <v>0</v>
      </c>
      <c r="C38" s="166">
        <f t="shared" si="3"/>
        <v>0</v>
      </c>
      <c r="D38" s="166"/>
      <c r="E38" s="166"/>
      <c r="F38" s="166">
        <f t="shared" si="2"/>
        <v>0</v>
      </c>
      <c r="G38" s="121">
        <v>170</v>
      </c>
      <c r="H38" s="121">
        <v>-170</v>
      </c>
      <c r="I38" s="121"/>
      <c r="J38" s="121"/>
      <c r="K38" s="121"/>
      <c r="L38" s="121"/>
      <c r="M38" s="121"/>
      <c r="N38" s="121"/>
      <c r="O38" s="121"/>
      <c r="P38" s="121"/>
    </row>
    <row r="39" spans="1:16" ht="21.6" customHeight="1">
      <c r="A39" s="97" t="s">
        <v>6</v>
      </c>
      <c r="B39" s="96">
        <f t="shared" si="0"/>
        <v>246781</v>
      </c>
      <c r="C39" s="166">
        <f t="shared" si="3"/>
        <v>160805</v>
      </c>
      <c r="D39" s="166">
        <v>130112</v>
      </c>
      <c r="E39" s="166">
        <v>30693</v>
      </c>
      <c r="F39" s="166">
        <f t="shared" si="2"/>
        <v>19547</v>
      </c>
      <c r="G39" s="121">
        <v>130</v>
      </c>
      <c r="H39" s="121">
        <v>7892</v>
      </c>
      <c r="I39" s="121">
        <f>11865-400</f>
        <v>11465</v>
      </c>
      <c r="J39" s="121"/>
      <c r="K39" s="121">
        <v>60</v>
      </c>
      <c r="L39" s="121"/>
      <c r="M39" s="121"/>
      <c r="N39" s="121">
        <v>66429</v>
      </c>
      <c r="O39" s="121"/>
      <c r="P39" s="121"/>
    </row>
    <row r="40" spans="1:16" ht="22.5" customHeight="1">
      <c r="A40" s="97" t="s">
        <v>44</v>
      </c>
      <c r="B40" s="96">
        <f t="shared" si="0"/>
        <v>68569</v>
      </c>
      <c r="C40" s="166">
        <f t="shared" si="3"/>
        <v>65206</v>
      </c>
      <c r="D40" s="166">
        <v>52760</v>
      </c>
      <c r="E40" s="166">
        <v>12446</v>
      </c>
      <c r="F40" s="166">
        <f t="shared" si="2"/>
        <v>3363</v>
      </c>
      <c r="G40" s="121"/>
      <c r="H40" s="121">
        <v>2713</v>
      </c>
      <c r="I40" s="121">
        <v>650</v>
      </c>
      <c r="J40" s="121"/>
      <c r="K40" s="121"/>
      <c r="L40" s="121"/>
      <c r="M40" s="121"/>
      <c r="N40" s="121"/>
      <c r="O40" s="121"/>
      <c r="P40" s="121"/>
    </row>
    <row r="41" spans="1:16" ht="24" customHeight="1">
      <c r="A41" s="97" t="s">
        <v>7</v>
      </c>
      <c r="B41" s="96">
        <f t="shared" si="0"/>
        <v>59103</v>
      </c>
      <c r="C41" s="166">
        <f t="shared" si="3"/>
        <v>57398</v>
      </c>
      <c r="D41" s="166">
        <v>46316</v>
      </c>
      <c r="E41" s="166">
        <v>11082</v>
      </c>
      <c r="F41" s="166">
        <f t="shared" si="2"/>
        <v>1705</v>
      </c>
      <c r="G41" s="121">
        <v>150</v>
      </c>
      <c r="H41" s="121">
        <v>605</v>
      </c>
      <c r="I41" s="121">
        <v>950</v>
      </c>
      <c r="J41" s="121"/>
      <c r="K41" s="121"/>
      <c r="L41" s="121"/>
      <c r="M41" s="121"/>
      <c r="N41" s="121"/>
      <c r="O41" s="121"/>
      <c r="P41" s="121"/>
    </row>
    <row r="42" spans="1:16" ht="25.9" customHeight="1">
      <c r="A42" s="97" t="s">
        <v>8</v>
      </c>
      <c r="B42" s="96">
        <f t="shared" si="0"/>
        <v>100000</v>
      </c>
      <c r="C42" s="166">
        <f t="shared" si="4" ref="C42:C118">D42+E42</f>
        <v>0</v>
      </c>
      <c r="D42" s="166"/>
      <c r="E42" s="166"/>
      <c r="F42" s="166">
        <f>SUM(G42:K42)</f>
        <v>100000</v>
      </c>
      <c r="G42" s="121"/>
      <c r="H42" s="121"/>
      <c r="I42" s="121"/>
      <c r="J42" s="121"/>
      <c r="K42" s="121">
        <v>100000</v>
      </c>
      <c r="L42" s="121"/>
      <c r="M42" s="121"/>
      <c r="N42" s="121"/>
      <c r="O42" s="121"/>
      <c r="P42" s="121"/>
    </row>
    <row r="43" spans="1:16" ht="30" customHeight="1">
      <c r="A43" s="97" t="s">
        <v>46</v>
      </c>
      <c r="B43" s="96">
        <f t="shared" si="0"/>
        <v>3444</v>
      </c>
      <c r="C43" s="166">
        <f t="shared" si="4"/>
        <v>0</v>
      </c>
      <c r="D43" s="166"/>
      <c r="E43" s="166"/>
      <c r="F43" s="166">
        <f>SUM(G43:K43)</f>
        <v>0</v>
      </c>
      <c r="G43" s="121"/>
      <c r="H43" s="121">
        <f>3444+H44</f>
        <v>0</v>
      </c>
      <c r="I43" s="121"/>
      <c r="J43" s="121"/>
      <c r="K43" s="121"/>
      <c r="L43" s="121"/>
      <c r="M43" s="121"/>
      <c r="N43" s="121"/>
      <c r="O43" s="121"/>
      <c r="P43" s="121">
        <f>P44</f>
        <v>3444</v>
      </c>
    </row>
    <row r="44" spans="1:16" ht="30" customHeight="1">
      <c r="A44" s="191" t="s">
        <v>760</v>
      </c>
      <c r="B44" s="96">
        <f t="shared" si="0"/>
        <v>0</v>
      </c>
      <c r="C44" s="166">
        <f t="shared" si="4"/>
        <v>0</v>
      </c>
      <c r="D44" s="166"/>
      <c r="E44" s="166"/>
      <c r="F44" s="166">
        <f>SUM(G44:K44)</f>
        <v>-3444</v>
      </c>
      <c r="G44" s="121"/>
      <c r="H44" s="121">
        <v>-3444</v>
      </c>
      <c r="I44" s="121"/>
      <c r="J44" s="121"/>
      <c r="K44" s="121"/>
      <c r="L44" s="121"/>
      <c r="M44" s="121"/>
      <c r="N44" s="121"/>
      <c r="O44" s="121"/>
      <c r="P44" s="121">
        <v>3444</v>
      </c>
    </row>
    <row r="45" spans="1:16" ht="30" customHeight="1">
      <c r="A45" s="97" t="s">
        <v>48</v>
      </c>
      <c r="B45" s="96">
        <f t="shared" si="0"/>
        <v>88627</v>
      </c>
      <c r="C45" s="166">
        <f t="shared" si="4"/>
        <v>57060</v>
      </c>
      <c r="D45" s="166">
        <v>46152</v>
      </c>
      <c r="E45" s="166">
        <f>10887+21</f>
        <v>10908</v>
      </c>
      <c r="F45" s="166">
        <f t="shared" si="5" ref="F45:F74">SUM(G45:K45)</f>
        <v>31567</v>
      </c>
      <c r="G45" s="121">
        <v>520</v>
      </c>
      <c r="H45" s="121">
        <v>27147</v>
      </c>
      <c r="I45" s="121">
        <v>3900</v>
      </c>
      <c r="J45" s="121"/>
      <c r="K45" s="121"/>
      <c r="L45" s="121"/>
      <c r="M45" s="121"/>
      <c r="N45" s="121"/>
      <c r="O45" s="121"/>
      <c r="P45" s="121"/>
    </row>
    <row r="46" spans="1:16" ht="25.5" customHeight="1">
      <c r="A46" s="97" t="s">
        <v>128</v>
      </c>
      <c r="B46" s="96">
        <f t="shared" si="0"/>
        <v>50000</v>
      </c>
      <c r="C46" s="166">
        <f t="shared" si="4"/>
        <v>0</v>
      </c>
      <c r="D46" s="166"/>
      <c r="E46" s="166"/>
      <c r="F46" s="166">
        <f t="shared" si="5"/>
        <v>0</v>
      </c>
      <c r="G46" s="121"/>
      <c r="H46" s="121"/>
      <c r="I46" s="121"/>
      <c r="J46" s="121"/>
      <c r="K46" s="121"/>
      <c r="L46" s="121">
        <v>50000</v>
      </c>
      <c r="M46" s="121"/>
      <c r="N46" s="121"/>
      <c r="O46" s="121"/>
      <c r="P46" s="121"/>
    </row>
    <row r="47" spans="1:16" ht="30" customHeight="1">
      <c r="A47" s="97" t="s">
        <v>51</v>
      </c>
      <c r="B47" s="96">
        <f t="shared" si="0"/>
        <v>122863</v>
      </c>
      <c r="C47" s="166">
        <f t="shared" si="4"/>
        <v>0</v>
      </c>
      <c r="D47" s="166"/>
      <c r="E47" s="166"/>
      <c r="F47" s="166">
        <f t="shared" si="5"/>
        <v>122863</v>
      </c>
      <c r="G47" s="121">
        <v>0</v>
      </c>
      <c r="H47" s="121">
        <f>102252+10381</f>
        <v>112633</v>
      </c>
      <c r="I47" s="121">
        <v>10230</v>
      </c>
      <c r="J47" s="121"/>
      <c r="K47" s="121"/>
      <c r="L47" s="121"/>
      <c r="M47" s="121"/>
      <c r="N47" s="121"/>
      <c r="O47" s="121"/>
      <c r="P47" s="121"/>
    </row>
    <row r="48" spans="1:16" ht="36.6" customHeight="1">
      <c r="A48" s="97" t="s">
        <v>158</v>
      </c>
      <c r="B48" s="96">
        <f t="shared" si="0"/>
        <v>80058</v>
      </c>
      <c r="C48" s="166">
        <f t="shared" si="4"/>
        <v>0</v>
      </c>
      <c r="D48" s="166"/>
      <c r="E48" s="166"/>
      <c r="F48" s="166">
        <f t="shared" si="5"/>
        <v>62058</v>
      </c>
      <c r="G48" s="121"/>
      <c r="H48" s="121">
        <f>33145+5008</f>
        <v>38153</v>
      </c>
      <c r="I48" s="121">
        <v>23905</v>
      </c>
      <c r="J48" s="121"/>
      <c r="K48" s="121"/>
      <c r="L48" s="121"/>
      <c r="M48" s="121"/>
      <c r="N48" s="121">
        <v>18000</v>
      </c>
      <c r="O48" s="121"/>
      <c r="P48" s="121"/>
    </row>
    <row r="49" spans="1:16" ht="30" customHeight="1">
      <c r="A49" s="97" t="s">
        <v>52</v>
      </c>
      <c r="B49" s="96">
        <f t="shared" si="0"/>
        <v>36493</v>
      </c>
      <c r="C49" s="166">
        <f t="shared" si="4"/>
        <v>0</v>
      </c>
      <c r="D49" s="166"/>
      <c r="E49" s="166"/>
      <c r="F49" s="166">
        <f t="shared" si="5"/>
        <v>36493</v>
      </c>
      <c r="G49" s="121"/>
      <c r="H49" s="121">
        <v>31793</v>
      </c>
      <c r="I49" s="121">
        <v>4700</v>
      </c>
      <c r="J49" s="121"/>
      <c r="K49" s="121"/>
      <c r="L49" s="121"/>
      <c r="M49" s="121"/>
      <c r="N49" s="121"/>
      <c r="O49" s="121"/>
      <c r="P49" s="121"/>
    </row>
    <row r="50" spans="1:16" ht="30" customHeight="1">
      <c r="A50" s="97" t="s">
        <v>53</v>
      </c>
      <c r="B50" s="96">
        <f t="shared" si="0"/>
        <v>22019</v>
      </c>
      <c r="C50" s="166">
        <f t="shared" si="4"/>
        <v>0</v>
      </c>
      <c r="D50" s="166"/>
      <c r="E50" s="166"/>
      <c r="F50" s="166">
        <f t="shared" si="5"/>
        <v>22019</v>
      </c>
      <c r="G50" s="121"/>
      <c r="H50" s="121">
        <v>20669</v>
      </c>
      <c r="I50" s="121">
        <v>1350</v>
      </c>
      <c r="J50" s="121"/>
      <c r="K50" s="121"/>
      <c r="L50" s="121"/>
      <c r="M50" s="121"/>
      <c r="N50" s="121"/>
      <c r="O50" s="121"/>
      <c r="P50" s="121"/>
    </row>
    <row r="51" spans="1:16" ht="33" customHeight="1">
      <c r="A51" s="97" t="s">
        <v>54</v>
      </c>
      <c r="B51" s="96">
        <f t="shared" si="0"/>
        <v>60467</v>
      </c>
      <c r="C51" s="166">
        <f t="shared" si="4"/>
        <v>0</v>
      </c>
      <c r="D51" s="166"/>
      <c r="E51" s="166"/>
      <c r="F51" s="166">
        <f>SUM(G51:K51)</f>
        <v>43300</v>
      </c>
      <c r="G51" s="121"/>
      <c r="H51" s="121">
        <f>40000+H52</f>
        <v>39700</v>
      </c>
      <c r="I51" s="121">
        <f>3300+I52</f>
        <v>3600</v>
      </c>
      <c r="J51" s="121"/>
      <c r="K51" s="121"/>
      <c r="L51" s="121"/>
      <c r="M51" s="121"/>
      <c r="N51" s="121">
        <v>17167</v>
      </c>
      <c r="O51" s="121"/>
      <c r="P51" s="121"/>
    </row>
    <row r="52" spans="1:16" ht="33" customHeight="1">
      <c r="A52" s="191" t="s">
        <v>760</v>
      </c>
      <c r="B52" s="96">
        <f t="shared" si="0"/>
        <v>0</v>
      </c>
      <c r="C52" s="166">
        <f t="shared" si="4"/>
        <v>0</v>
      </c>
      <c r="D52" s="166"/>
      <c r="E52" s="166"/>
      <c r="F52" s="166">
        <f>SUM(G52:K52)</f>
        <v>0</v>
      </c>
      <c r="G52" s="121"/>
      <c r="H52" s="121">
        <v>-300</v>
      </c>
      <c r="I52" s="121">
        <v>300</v>
      </c>
      <c r="J52" s="121"/>
      <c r="K52" s="121"/>
      <c r="L52" s="121"/>
      <c r="M52" s="121"/>
      <c r="N52" s="121"/>
      <c r="O52" s="121"/>
      <c r="P52" s="121"/>
    </row>
    <row r="53" spans="1:16" ht="32.45" customHeight="1">
      <c r="A53" s="97" t="s">
        <v>55</v>
      </c>
      <c r="B53" s="96">
        <f t="shared" si="0"/>
        <v>45248</v>
      </c>
      <c r="C53" s="166">
        <f t="shared" si="4"/>
        <v>0</v>
      </c>
      <c r="D53" s="166"/>
      <c r="E53" s="166"/>
      <c r="F53" s="166">
        <f t="shared" si="5"/>
        <v>45248</v>
      </c>
      <c r="G53" s="121"/>
      <c r="H53" s="121">
        <v>44028</v>
      </c>
      <c r="I53" s="121">
        <v>1220</v>
      </c>
      <c r="J53" s="121"/>
      <c r="K53" s="121"/>
      <c r="L53" s="121"/>
      <c r="M53" s="121"/>
      <c r="N53" s="121"/>
      <c r="O53" s="121"/>
      <c r="P53" s="121"/>
    </row>
    <row r="54" spans="1:16" ht="33.6" customHeight="1">
      <c r="A54" s="97" t="s">
        <v>56</v>
      </c>
      <c r="B54" s="96">
        <f t="shared" si="0"/>
        <v>25320</v>
      </c>
      <c r="C54" s="166">
        <f t="shared" si="4"/>
        <v>0</v>
      </c>
      <c r="D54" s="166"/>
      <c r="E54" s="166"/>
      <c r="F54" s="166">
        <f t="shared" si="5"/>
        <v>25320</v>
      </c>
      <c r="G54" s="121"/>
      <c r="H54" s="121">
        <f>24120+H55</f>
        <v>23820</v>
      </c>
      <c r="I54" s="121">
        <f>1200+I55</f>
        <v>1500</v>
      </c>
      <c r="J54" s="121"/>
      <c r="K54" s="121"/>
      <c r="L54" s="121"/>
      <c r="M54" s="121"/>
      <c r="N54" s="121"/>
      <c r="O54" s="121"/>
      <c r="P54" s="121"/>
    </row>
    <row r="55" spans="1:16" ht="33.6" customHeight="1">
      <c r="A55" s="191" t="s">
        <v>760</v>
      </c>
      <c r="B55" s="96">
        <f t="shared" si="0"/>
        <v>0</v>
      </c>
      <c r="C55" s="166">
        <f t="shared" si="4"/>
        <v>0</v>
      </c>
      <c r="D55" s="166"/>
      <c r="E55" s="166"/>
      <c r="F55" s="166">
        <f t="shared" si="5"/>
        <v>0</v>
      </c>
      <c r="G55" s="121"/>
      <c r="H55" s="121">
        <v>-300</v>
      </c>
      <c r="I55" s="121">
        <v>300</v>
      </c>
      <c r="J55" s="121"/>
      <c r="K55" s="121"/>
      <c r="L55" s="121"/>
      <c r="M55" s="121"/>
      <c r="N55" s="121"/>
      <c r="O55" s="121"/>
      <c r="P55" s="121"/>
    </row>
    <row r="56" spans="1:16" ht="39" customHeight="1">
      <c r="A56" s="97" t="s">
        <v>57</v>
      </c>
      <c r="B56" s="96">
        <f t="shared" si="0"/>
        <v>42398</v>
      </c>
      <c r="C56" s="166">
        <f t="shared" si="4"/>
        <v>0</v>
      </c>
      <c r="D56" s="166"/>
      <c r="E56" s="166"/>
      <c r="F56" s="166">
        <f t="shared" si="5"/>
        <v>42398</v>
      </c>
      <c r="G56" s="121"/>
      <c r="H56" s="121">
        <v>40298</v>
      </c>
      <c r="I56" s="121">
        <v>2100</v>
      </c>
      <c r="J56" s="121"/>
      <c r="K56" s="121"/>
      <c r="L56" s="121"/>
      <c r="M56" s="121"/>
      <c r="N56" s="121"/>
      <c r="O56" s="121"/>
      <c r="P56" s="121"/>
    </row>
    <row r="57" spans="1:16" ht="37.9" customHeight="1">
      <c r="A57" s="97" t="s">
        <v>156</v>
      </c>
      <c r="B57" s="96">
        <f t="shared" si="0"/>
        <v>22932</v>
      </c>
      <c r="C57" s="166">
        <f t="shared" si="4"/>
        <v>0</v>
      </c>
      <c r="D57" s="166"/>
      <c r="E57" s="166"/>
      <c r="F57" s="166">
        <f t="shared" si="5"/>
        <v>22932</v>
      </c>
      <c r="G57" s="121"/>
      <c r="H57" s="121">
        <v>17632</v>
      </c>
      <c r="I57" s="121">
        <v>5300</v>
      </c>
      <c r="J57" s="121"/>
      <c r="K57" s="121"/>
      <c r="L57" s="121"/>
      <c r="M57" s="121"/>
      <c r="N57" s="121"/>
      <c r="O57" s="121"/>
      <c r="P57" s="121"/>
    </row>
    <row r="58" spans="1:16" ht="30" customHeight="1">
      <c r="A58" s="97" t="s">
        <v>58</v>
      </c>
      <c r="B58" s="96">
        <f t="shared" si="0"/>
        <v>17100</v>
      </c>
      <c r="C58" s="166">
        <f t="shared" si="4"/>
        <v>0</v>
      </c>
      <c r="D58" s="166"/>
      <c r="E58" s="166"/>
      <c r="F58" s="166">
        <f t="shared" si="5"/>
        <v>17100</v>
      </c>
      <c r="G58" s="121"/>
      <c r="H58" s="121">
        <v>17000</v>
      </c>
      <c r="I58" s="121">
        <v>100</v>
      </c>
      <c r="J58" s="121"/>
      <c r="K58" s="121"/>
      <c r="L58" s="121"/>
      <c r="M58" s="121"/>
      <c r="N58" s="121"/>
      <c r="O58" s="121"/>
      <c r="P58" s="121"/>
    </row>
    <row r="59" spans="1:16" ht="41.25" customHeight="1">
      <c r="A59" s="97" t="s">
        <v>574</v>
      </c>
      <c r="B59" s="96">
        <f t="shared" si="0"/>
        <v>108183</v>
      </c>
      <c r="C59" s="166">
        <f t="shared" si="4"/>
        <v>0</v>
      </c>
      <c r="D59" s="166"/>
      <c r="E59" s="166"/>
      <c r="F59" s="166">
        <f>SUM(G59:K59)</f>
        <v>85905</v>
      </c>
      <c r="G59" s="121"/>
      <c r="H59" s="121">
        <f>9472+28735</f>
        <v>38207</v>
      </c>
      <c r="I59" s="121">
        <v>47698</v>
      </c>
      <c r="J59" s="121"/>
      <c r="K59" s="121"/>
      <c r="L59" s="121"/>
      <c r="M59" s="121"/>
      <c r="N59" s="121">
        <v>22278</v>
      </c>
      <c r="O59" s="121"/>
      <c r="P59" s="121"/>
    </row>
    <row r="60" spans="1:16" ht="30" customHeight="1">
      <c r="A60" s="97" t="s">
        <v>155</v>
      </c>
      <c r="B60" s="96">
        <f t="shared" si="0"/>
        <v>44687</v>
      </c>
      <c r="C60" s="166">
        <f t="shared" si="4"/>
        <v>0</v>
      </c>
      <c r="D60" s="166"/>
      <c r="E60" s="166"/>
      <c r="F60" s="166">
        <f>SUM(G60:K60)</f>
        <v>44687</v>
      </c>
      <c r="G60" s="121"/>
      <c r="H60" s="121">
        <v>39687</v>
      </c>
      <c r="I60" s="121">
        <v>5000</v>
      </c>
      <c r="J60" s="121"/>
      <c r="K60" s="121"/>
      <c r="L60" s="121"/>
      <c r="M60" s="121"/>
      <c r="N60" s="121"/>
      <c r="O60" s="121"/>
      <c r="P60" s="121"/>
    </row>
    <row r="61" spans="1:16" ht="30" customHeight="1">
      <c r="A61" s="97" t="s">
        <v>157</v>
      </c>
      <c r="B61" s="96">
        <f t="shared" si="0"/>
        <v>262795</v>
      </c>
      <c r="C61" s="166">
        <f t="shared" si="4"/>
        <v>0</v>
      </c>
      <c r="D61" s="166"/>
      <c r="E61" s="166"/>
      <c r="F61" s="166">
        <f t="shared" si="5"/>
        <v>113656</v>
      </c>
      <c r="G61" s="121"/>
      <c r="H61" s="121">
        <v>55578</v>
      </c>
      <c r="I61" s="121">
        <v>58078</v>
      </c>
      <c r="J61" s="121"/>
      <c r="K61" s="121"/>
      <c r="L61" s="121"/>
      <c r="M61" s="121"/>
      <c r="N61" s="121">
        <v>149139</v>
      </c>
      <c r="O61" s="121"/>
      <c r="P61" s="121"/>
    </row>
    <row r="62" spans="1:16" ht="30" customHeight="1">
      <c r="A62" s="97" t="s">
        <v>159</v>
      </c>
      <c r="B62" s="96">
        <f t="shared" si="0"/>
        <v>71032</v>
      </c>
      <c r="C62" s="166">
        <f t="shared" si="4"/>
        <v>0</v>
      </c>
      <c r="D62" s="166"/>
      <c r="E62" s="166"/>
      <c r="F62" s="166">
        <f t="shared" si="5"/>
        <v>71032</v>
      </c>
      <c r="G62" s="121"/>
      <c r="H62" s="121">
        <v>54832</v>
      </c>
      <c r="I62" s="121">
        <v>16200</v>
      </c>
      <c r="J62" s="121"/>
      <c r="K62" s="121"/>
      <c r="L62" s="121"/>
      <c r="M62" s="121"/>
      <c r="N62" s="121"/>
      <c r="O62" s="121"/>
      <c r="P62" s="121"/>
    </row>
    <row r="63" spans="1:16" ht="30" customHeight="1">
      <c r="A63" s="97" t="s">
        <v>160</v>
      </c>
      <c r="B63" s="96">
        <f t="shared" si="0"/>
        <v>88717</v>
      </c>
      <c r="C63" s="166">
        <f t="shared" si="4"/>
        <v>0</v>
      </c>
      <c r="D63" s="166"/>
      <c r="E63" s="166"/>
      <c r="F63" s="166">
        <f t="shared" si="5"/>
        <v>88717</v>
      </c>
      <c r="G63" s="121"/>
      <c r="H63" s="121">
        <v>83017</v>
      </c>
      <c r="I63" s="121">
        <v>5700</v>
      </c>
      <c r="J63" s="121"/>
      <c r="K63" s="121"/>
      <c r="L63" s="121"/>
      <c r="M63" s="121"/>
      <c r="N63" s="121"/>
      <c r="O63" s="121"/>
      <c r="P63" s="121"/>
    </row>
    <row r="64" spans="1:16" ht="30" customHeight="1">
      <c r="A64" s="97" t="s">
        <v>59</v>
      </c>
      <c r="B64" s="96">
        <f t="shared" si="0"/>
        <v>46559</v>
      </c>
      <c r="C64" s="166">
        <f t="shared" si="4"/>
        <v>0</v>
      </c>
      <c r="D64" s="166"/>
      <c r="E64" s="166"/>
      <c r="F64" s="166">
        <f t="shared" si="5"/>
        <v>46559</v>
      </c>
      <c r="G64" s="121"/>
      <c r="H64" s="121">
        <v>40759</v>
      </c>
      <c r="I64" s="121">
        <v>5800</v>
      </c>
      <c r="J64" s="121"/>
      <c r="K64" s="121"/>
      <c r="L64" s="121"/>
      <c r="M64" s="121"/>
      <c r="N64" s="121"/>
      <c r="O64" s="121"/>
      <c r="P64" s="121"/>
    </row>
    <row r="65" spans="1:16" ht="30" customHeight="1">
      <c r="A65" s="97" t="s">
        <v>60</v>
      </c>
      <c r="B65" s="96">
        <f t="shared" si="0"/>
        <v>24244</v>
      </c>
      <c r="C65" s="166">
        <f t="shared" si="4"/>
        <v>0</v>
      </c>
      <c r="D65" s="166"/>
      <c r="E65" s="166"/>
      <c r="F65" s="166">
        <f t="shared" si="5"/>
        <v>24244</v>
      </c>
      <c r="G65" s="121"/>
      <c r="H65" s="121">
        <v>23544</v>
      </c>
      <c r="I65" s="121">
        <v>700</v>
      </c>
      <c r="J65" s="121"/>
      <c r="K65" s="121"/>
      <c r="L65" s="121"/>
      <c r="M65" s="121"/>
      <c r="N65" s="121"/>
      <c r="O65" s="121"/>
      <c r="P65" s="121"/>
    </row>
    <row r="66" spans="1:16" ht="30" customHeight="1">
      <c r="A66" s="97" t="s">
        <v>163</v>
      </c>
      <c r="B66" s="96">
        <f t="shared" si="0"/>
        <v>45683</v>
      </c>
      <c r="C66" s="166">
        <f t="shared" si="4"/>
        <v>0</v>
      </c>
      <c r="D66" s="166"/>
      <c r="E66" s="166"/>
      <c r="F66" s="166">
        <f t="shared" si="5"/>
        <v>45683</v>
      </c>
      <c r="G66" s="121"/>
      <c r="H66" s="121">
        <v>36183</v>
      </c>
      <c r="I66" s="121">
        <v>9500</v>
      </c>
      <c r="J66" s="121"/>
      <c r="K66" s="121"/>
      <c r="L66" s="121"/>
      <c r="M66" s="121"/>
      <c r="N66" s="121"/>
      <c r="O66" s="121"/>
      <c r="P66" s="121"/>
    </row>
    <row r="67" spans="1:16" ht="30" customHeight="1">
      <c r="A67" s="97" t="s">
        <v>61</v>
      </c>
      <c r="B67" s="96">
        <f t="shared" si="0"/>
        <v>38381</v>
      </c>
      <c r="C67" s="166">
        <f t="shared" si="4"/>
        <v>0</v>
      </c>
      <c r="D67" s="166"/>
      <c r="E67" s="166"/>
      <c r="F67" s="166">
        <f t="shared" si="5"/>
        <v>38381</v>
      </c>
      <c r="G67" s="121"/>
      <c r="H67" s="121">
        <v>33481</v>
      </c>
      <c r="I67" s="121">
        <v>4900</v>
      </c>
      <c r="J67" s="121"/>
      <c r="K67" s="121"/>
      <c r="L67" s="121"/>
      <c r="M67" s="121"/>
      <c r="N67" s="121"/>
      <c r="O67" s="121"/>
      <c r="P67" s="121"/>
    </row>
    <row r="68" spans="1:16" ht="30" customHeight="1">
      <c r="A68" s="97" t="s">
        <v>161</v>
      </c>
      <c r="B68" s="96">
        <f t="shared" si="0"/>
        <v>10032</v>
      </c>
      <c r="C68" s="166">
        <f t="shared" si="4"/>
        <v>0</v>
      </c>
      <c r="D68" s="166"/>
      <c r="E68" s="166"/>
      <c r="F68" s="166">
        <f t="shared" si="5"/>
        <v>10032</v>
      </c>
      <c r="G68" s="121"/>
      <c r="H68" s="121">
        <v>5132</v>
      </c>
      <c r="I68" s="121">
        <v>4900</v>
      </c>
      <c r="J68" s="121"/>
      <c r="K68" s="121"/>
      <c r="L68" s="121"/>
      <c r="M68" s="121"/>
      <c r="N68" s="121"/>
      <c r="O68" s="121"/>
      <c r="P68" s="121"/>
    </row>
    <row r="69" spans="1:16" ht="30" customHeight="1">
      <c r="A69" s="97" t="s">
        <v>162</v>
      </c>
      <c r="B69" s="96">
        <f t="shared" si="0"/>
        <v>28166</v>
      </c>
      <c r="C69" s="166">
        <f t="shared" si="4"/>
        <v>0</v>
      </c>
      <c r="D69" s="166"/>
      <c r="E69" s="166"/>
      <c r="F69" s="166">
        <f t="shared" si="5"/>
        <v>28166</v>
      </c>
      <c r="G69" s="121"/>
      <c r="H69" s="121">
        <v>20000</v>
      </c>
      <c r="I69" s="121">
        <v>8166</v>
      </c>
      <c r="J69" s="121"/>
      <c r="K69" s="121"/>
      <c r="L69" s="121"/>
      <c r="M69" s="121"/>
      <c r="N69" s="121"/>
      <c r="O69" s="121"/>
      <c r="P69" s="121"/>
    </row>
    <row r="70" spans="1:16" ht="40.5" customHeight="1">
      <c r="A70" s="97" t="s">
        <v>563</v>
      </c>
      <c r="B70" s="96">
        <f t="shared" si="0"/>
        <v>370157</v>
      </c>
      <c r="C70" s="166">
        <f t="shared" si="4"/>
        <v>0</v>
      </c>
      <c r="D70" s="166"/>
      <c r="E70" s="166"/>
      <c r="F70" s="166">
        <f>SUM(G70:K70)</f>
        <v>0</v>
      </c>
      <c r="G70" s="121"/>
      <c r="H70" s="121"/>
      <c r="I70" s="121"/>
      <c r="J70" s="121"/>
      <c r="K70" s="121"/>
      <c r="L70" s="121"/>
      <c r="M70" s="121"/>
      <c r="N70" s="121">
        <v>370157</v>
      </c>
      <c r="O70" s="121"/>
      <c r="P70" s="121"/>
    </row>
    <row r="71" spans="1:16" ht="20.25" customHeight="1">
      <c r="A71" s="97" t="s">
        <v>84</v>
      </c>
      <c r="B71" s="96">
        <f t="shared" si="0"/>
        <v>67348.78</v>
      </c>
      <c r="C71" s="166">
        <f t="shared" si="4"/>
        <v>1483</v>
      </c>
      <c r="D71" s="166">
        <v>1200</v>
      </c>
      <c r="E71" s="166">
        <v>283</v>
      </c>
      <c r="F71" s="166">
        <f>SUM(G71:K71)</f>
        <v>2100</v>
      </c>
      <c r="G71" s="121"/>
      <c r="H71" s="121">
        <v>2100</v>
      </c>
      <c r="I71" s="121"/>
      <c r="J71" s="121"/>
      <c r="K71" s="121"/>
      <c r="L71" s="121"/>
      <c r="M71" s="121"/>
      <c r="N71" s="121"/>
      <c r="O71" s="121">
        <v>63000</v>
      </c>
      <c r="P71" s="121">
        <v>765.78</v>
      </c>
    </row>
    <row r="72" spans="1:16" ht="45" customHeight="1">
      <c r="A72" s="118" t="s">
        <v>710</v>
      </c>
      <c r="B72" s="96">
        <f t="shared" si="0"/>
        <v>461696</v>
      </c>
      <c r="C72" s="166">
        <f t="shared" si="4"/>
        <v>0</v>
      </c>
      <c r="D72" s="166"/>
      <c r="E72" s="166"/>
      <c r="F72" s="166">
        <f t="shared" si="5"/>
        <v>0</v>
      </c>
      <c r="G72" s="121"/>
      <c r="H72" s="121"/>
      <c r="I72" s="121"/>
      <c r="J72" s="121"/>
      <c r="K72" s="121"/>
      <c r="L72" s="121"/>
      <c r="M72" s="121"/>
      <c r="N72" s="121">
        <v>461696</v>
      </c>
      <c r="O72" s="121"/>
      <c r="P72" s="121"/>
    </row>
    <row r="73" spans="1:16" ht="45" customHeight="1">
      <c r="A73" s="97" t="s">
        <v>62</v>
      </c>
      <c r="B73" s="96">
        <f t="shared" si="0"/>
        <v>100659</v>
      </c>
      <c r="C73" s="166">
        <f t="shared" si="4"/>
        <v>0</v>
      </c>
      <c r="D73" s="166"/>
      <c r="E73" s="166"/>
      <c r="F73" s="166">
        <f t="shared" si="5"/>
        <v>100659</v>
      </c>
      <c r="G73" s="121"/>
      <c r="H73" s="121">
        <v>100659</v>
      </c>
      <c r="I73" s="121"/>
      <c r="J73" s="121"/>
      <c r="K73" s="121"/>
      <c r="L73" s="121"/>
      <c r="M73" s="121"/>
      <c r="N73" s="121"/>
      <c r="O73" s="121"/>
      <c r="P73" s="121"/>
    </row>
    <row r="74" spans="1:16" ht="35.45" customHeight="1">
      <c r="A74" s="97" t="s">
        <v>251</v>
      </c>
      <c r="B74" s="96">
        <f t="shared" si="0"/>
        <v>7456</v>
      </c>
      <c r="C74" s="166">
        <f t="shared" si="4"/>
        <v>0</v>
      </c>
      <c r="D74" s="166"/>
      <c r="E74" s="166"/>
      <c r="F74" s="166">
        <f t="shared" si="5"/>
        <v>7456</v>
      </c>
      <c r="G74" s="121"/>
      <c r="H74" s="121">
        <v>4582</v>
      </c>
      <c r="I74" s="121">
        <v>2754</v>
      </c>
      <c r="J74" s="121"/>
      <c r="K74" s="121">
        <v>120</v>
      </c>
      <c r="L74" s="121"/>
      <c r="M74" s="121"/>
      <c r="N74" s="121"/>
      <c r="O74" s="121"/>
      <c r="P74" s="121"/>
    </row>
    <row r="75" spans="1:16" ht="33.6" customHeight="1">
      <c r="A75" s="97" t="s">
        <v>561</v>
      </c>
      <c r="B75" s="96">
        <f t="shared" si="0"/>
        <v>3561</v>
      </c>
      <c r="C75" s="166">
        <f t="shared" si="4"/>
        <v>0</v>
      </c>
      <c r="D75" s="166"/>
      <c r="E75" s="166"/>
      <c r="F75" s="166">
        <f t="shared" si="6" ref="F75:F94">SUM(G75:K75)</f>
        <v>3561</v>
      </c>
      <c r="G75" s="121"/>
      <c r="H75" s="121">
        <f>2761+H76</f>
        <v>2932</v>
      </c>
      <c r="I75" s="121">
        <f>300+I76</f>
        <v>599</v>
      </c>
      <c r="J75" s="121"/>
      <c r="K75" s="121">
        <f>500+K76</f>
        <v>30</v>
      </c>
      <c r="L75" s="121"/>
      <c r="M75" s="121"/>
      <c r="N75" s="121"/>
      <c r="O75" s="121"/>
      <c r="P75" s="121"/>
    </row>
    <row r="76" spans="1:16" ht="33.6" customHeight="1">
      <c r="A76" s="191" t="s">
        <v>760</v>
      </c>
      <c r="B76" s="96">
        <f t="shared" si="0"/>
        <v>0</v>
      </c>
      <c r="C76" s="166">
        <f t="shared" si="4"/>
        <v>0</v>
      </c>
      <c r="D76" s="166"/>
      <c r="E76" s="166"/>
      <c r="F76" s="166">
        <f t="shared" si="6"/>
        <v>0</v>
      </c>
      <c r="G76" s="121"/>
      <c r="H76" s="121">
        <v>171</v>
      </c>
      <c r="I76" s="121">
        <v>299</v>
      </c>
      <c r="J76" s="121"/>
      <c r="K76" s="121">
        <v>-470</v>
      </c>
      <c r="L76" s="121"/>
      <c r="M76" s="121"/>
      <c r="N76" s="121"/>
      <c r="O76" s="121"/>
      <c r="P76" s="121"/>
    </row>
    <row r="77" spans="1:16" ht="30" customHeight="1">
      <c r="A77" s="97" t="s">
        <v>179</v>
      </c>
      <c r="B77" s="96">
        <f t="shared" si="0"/>
        <v>5646</v>
      </c>
      <c r="C77" s="166">
        <f t="shared" si="4"/>
        <v>0</v>
      </c>
      <c r="D77" s="166"/>
      <c r="E77" s="166"/>
      <c r="F77" s="166">
        <f>SUM(G77:K77)</f>
        <v>5646</v>
      </c>
      <c r="G77" s="121"/>
      <c r="H77" s="121">
        <v>4140</v>
      </c>
      <c r="I77" s="121">
        <v>1406</v>
      </c>
      <c r="J77" s="121"/>
      <c r="K77" s="121">
        <v>100</v>
      </c>
      <c r="L77" s="121"/>
      <c r="M77" s="121"/>
      <c r="N77" s="121"/>
      <c r="O77" s="121"/>
      <c r="P77" s="121"/>
    </row>
    <row r="78" spans="1:16" ht="30" customHeight="1">
      <c r="A78" s="97" t="s">
        <v>559</v>
      </c>
      <c r="B78" s="96">
        <f t="shared" si="0"/>
        <v>5889</v>
      </c>
      <c r="C78" s="166">
        <f t="shared" si="4"/>
        <v>0</v>
      </c>
      <c r="D78" s="166"/>
      <c r="E78" s="166"/>
      <c r="F78" s="166">
        <f t="shared" si="6"/>
        <v>5889</v>
      </c>
      <c r="G78" s="121"/>
      <c r="H78" s="121">
        <v>5739</v>
      </c>
      <c r="I78" s="121">
        <v>150</v>
      </c>
      <c r="J78" s="121"/>
      <c r="K78" s="121"/>
      <c r="L78" s="121"/>
      <c r="M78" s="121"/>
      <c r="N78" s="121"/>
      <c r="O78" s="121"/>
      <c r="P78" s="121"/>
    </row>
    <row r="79" spans="1:16" ht="30" customHeight="1">
      <c r="A79" s="97" t="s">
        <v>177</v>
      </c>
      <c r="B79" s="96">
        <f t="shared" si="0"/>
        <v>3980</v>
      </c>
      <c r="C79" s="166">
        <f t="shared" si="4"/>
        <v>0</v>
      </c>
      <c r="D79" s="166"/>
      <c r="E79" s="166"/>
      <c r="F79" s="166">
        <f t="shared" si="6"/>
        <v>3980</v>
      </c>
      <c r="G79" s="121"/>
      <c r="H79" s="121">
        <f>3100+H80</f>
        <v>2880</v>
      </c>
      <c r="I79" s="121">
        <f>480+I80</f>
        <v>700</v>
      </c>
      <c r="J79" s="121"/>
      <c r="K79" s="121">
        <v>400</v>
      </c>
      <c r="L79" s="121"/>
      <c r="M79" s="121"/>
      <c r="N79" s="121"/>
      <c r="O79" s="121"/>
      <c r="P79" s="121"/>
    </row>
    <row r="80" spans="1:16" ht="30" customHeight="1">
      <c r="A80" s="191" t="s">
        <v>760</v>
      </c>
      <c r="B80" s="96">
        <f t="shared" si="0"/>
        <v>0</v>
      </c>
      <c r="C80" s="166">
        <f t="shared" si="4"/>
        <v>0</v>
      </c>
      <c r="D80" s="166"/>
      <c r="E80" s="166"/>
      <c r="F80" s="166">
        <f t="shared" si="6"/>
        <v>0</v>
      </c>
      <c r="G80" s="121"/>
      <c r="H80" s="121">
        <v>-220</v>
      </c>
      <c r="I80" s="121">
        <v>220</v>
      </c>
      <c r="J80" s="121"/>
      <c r="K80" s="121"/>
      <c r="L80" s="121"/>
      <c r="M80" s="121"/>
      <c r="N80" s="121"/>
      <c r="O80" s="121"/>
      <c r="P80" s="121"/>
    </row>
    <row r="81" spans="1:16" ht="30" customHeight="1">
      <c r="A81" s="97" t="s">
        <v>178</v>
      </c>
      <c r="B81" s="96">
        <f t="shared" si="0"/>
        <v>8580</v>
      </c>
      <c r="C81" s="166">
        <f t="shared" si="4"/>
        <v>0</v>
      </c>
      <c r="D81" s="166"/>
      <c r="E81" s="166"/>
      <c r="F81" s="166">
        <f t="shared" si="6"/>
        <v>8580</v>
      </c>
      <c r="G81" s="121"/>
      <c r="H81" s="121">
        <v>7980</v>
      </c>
      <c r="I81" s="121">
        <v>555</v>
      </c>
      <c r="J81" s="121"/>
      <c r="K81" s="121">
        <v>45</v>
      </c>
      <c r="L81" s="121"/>
      <c r="M81" s="121"/>
      <c r="N81" s="121"/>
      <c r="O81" s="121"/>
      <c r="P81" s="121"/>
    </row>
    <row r="82" spans="1:16" ht="30" customHeight="1">
      <c r="A82" s="97" t="s">
        <v>89</v>
      </c>
      <c r="B82" s="96">
        <f t="shared" si="0"/>
        <v>5700</v>
      </c>
      <c r="C82" s="166">
        <f t="shared" si="4"/>
        <v>0</v>
      </c>
      <c r="D82" s="166"/>
      <c r="E82" s="166"/>
      <c r="F82" s="166">
        <f t="shared" si="6"/>
        <v>5700</v>
      </c>
      <c r="G82" s="121"/>
      <c r="H82" s="121">
        <v>4930</v>
      </c>
      <c r="I82" s="121">
        <v>700</v>
      </c>
      <c r="J82" s="121"/>
      <c r="K82" s="121">
        <v>70</v>
      </c>
      <c r="L82" s="121"/>
      <c r="M82" s="121"/>
      <c r="N82" s="121"/>
      <c r="O82" s="121"/>
      <c r="P82" s="121"/>
    </row>
    <row r="83" spans="1:16" ht="33" customHeight="1">
      <c r="A83" s="97" t="s">
        <v>252</v>
      </c>
      <c r="B83" s="96">
        <f t="shared" si="0"/>
        <v>9130</v>
      </c>
      <c r="C83" s="166">
        <f t="shared" si="4"/>
        <v>0</v>
      </c>
      <c r="D83" s="166"/>
      <c r="E83" s="166"/>
      <c r="F83" s="166">
        <f t="shared" si="6"/>
        <v>9130</v>
      </c>
      <c r="G83" s="121"/>
      <c r="H83" s="121">
        <v>8200</v>
      </c>
      <c r="I83" s="121">
        <v>730</v>
      </c>
      <c r="J83" s="121"/>
      <c r="K83" s="121">
        <v>200</v>
      </c>
      <c r="L83" s="121"/>
      <c r="M83" s="121"/>
      <c r="N83" s="121"/>
      <c r="O83" s="121"/>
      <c r="P83" s="121"/>
    </row>
    <row r="84" spans="1:16" ht="30" customHeight="1">
      <c r="A84" s="97" t="s">
        <v>557</v>
      </c>
      <c r="B84" s="96">
        <f t="shared" si="0"/>
        <v>3070</v>
      </c>
      <c r="C84" s="166">
        <f t="shared" si="4"/>
        <v>0</v>
      </c>
      <c r="D84" s="166"/>
      <c r="E84" s="166"/>
      <c r="F84" s="166">
        <f t="shared" si="6"/>
        <v>3070</v>
      </c>
      <c r="G84" s="121"/>
      <c r="H84" s="121">
        <v>2860</v>
      </c>
      <c r="I84" s="121">
        <v>160</v>
      </c>
      <c r="J84" s="121"/>
      <c r="K84" s="121">
        <v>50</v>
      </c>
      <c r="L84" s="121"/>
      <c r="M84" s="121"/>
      <c r="N84" s="121"/>
      <c r="O84" s="121"/>
      <c r="P84" s="121"/>
    </row>
    <row r="85" spans="1:16" ht="30" customHeight="1">
      <c r="A85" s="97" t="s">
        <v>86</v>
      </c>
      <c r="B85" s="96">
        <f t="shared" si="0"/>
        <v>7086</v>
      </c>
      <c r="C85" s="166">
        <f t="shared" si="4"/>
        <v>0</v>
      </c>
      <c r="D85" s="166"/>
      <c r="E85" s="166"/>
      <c r="F85" s="166">
        <f t="shared" si="6"/>
        <v>7086</v>
      </c>
      <c r="G85" s="121"/>
      <c r="H85" s="121">
        <v>6576</v>
      </c>
      <c r="I85" s="121">
        <v>410</v>
      </c>
      <c r="J85" s="121"/>
      <c r="K85" s="121">
        <v>100</v>
      </c>
      <c r="L85" s="121"/>
      <c r="M85" s="121"/>
      <c r="N85" s="121"/>
      <c r="O85" s="121"/>
      <c r="P85" s="121"/>
    </row>
    <row r="86" spans="1:16" ht="30" customHeight="1">
      <c r="A86" s="97" t="s">
        <v>88</v>
      </c>
      <c r="B86" s="96">
        <f t="shared" si="0"/>
        <v>2410</v>
      </c>
      <c r="C86" s="166">
        <f t="shared" si="4"/>
        <v>0</v>
      </c>
      <c r="D86" s="166"/>
      <c r="E86" s="166"/>
      <c r="F86" s="166">
        <f t="shared" si="6"/>
        <v>2410</v>
      </c>
      <c r="G86" s="121"/>
      <c r="H86" s="121">
        <v>1210</v>
      </c>
      <c r="I86" s="121">
        <v>1170</v>
      </c>
      <c r="J86" s="121"/>
      <c r="K86" s="121">
        <v>30</v>
      </c>
      <c r="L86" s="121"/>
      <c r="M86" s="121"/>
      <c r="N86" s="121"/>
      <c r="O86" s="121"/>
      <c r="P86" s="121"/>
    </row>
    <row r="87" spans="1:16" ht="36" customHeight="1">
      <c r="A87" s="97" t="s">
        <v>250</v>
      </c>
      <c r="B87" s="96">
        <f t="shared" si="0"/>
        <v>7970</v>
      </c>
      <c r="C87" s="166">
        <f t="shared" si="4"/>
        <v>0</v>
      </c>
      <c r="D87" s="166"/>
      <c r="E87" s="166"/>
      <c r="F87" s="166">
        <f>SUM(G87:K87)</f>
        <v>7970</v>
      </c>
      <c r="G87" s="121"/>
      <c r="H87" s="121">
        <v>7050</v>
      </c>
      <c r="I87" s="121">
        <v>800</v>
      </c>
      <c r="J87" s="121"/>
      <c r="K87" s="121">
        <v>120</v>
      </c>
      <c r="L87" s="121"/>
      <c r="M87" s="121"/>
      <c r="N87" s="121"/>
      <c r="O87" s="121"/>
      <c r="P87" s="121"/>
    </row>
    <row r="88" spans="1:16" ht="30" customHeight="1">
      <c r="A88" s="97" t="s">
        <v>180</v>
      </c>
      <c r="B88" s="96">
        <f t="shared" si="0"/>
        <v>9518</v>
      </c>
      <c r="C88" s="166">
        <f t="shared" si="4"/>
        <v>0</v>
      </c>
      <c r="D88" s="166"/>
      <c r="E88" s="166"/>
      <c r="F88" s="166">
        <f t="shared" si="6"/>
        <v>8018</v>
      </c>
      <c r="G88" s="121"/>
      <c r="H88" s="121">
        <v>7395</v>
      </c>
      <c r="I88" s="121">
        <v>226</v>
      </c>
      <c r="J88" s="121"/>
      <c r="K88" s="121">
        <v>397</v>
      </c>
      <c r="L88" s="121"/>
      <c r="M88" s="121"/>
      <c r="N88" s="121">
        <v>1500</v>
      </c>
      <c r="O88" s="121"/>
      <c r="P88" s="121"/>
    </row>
    <row r="89" spans="1:16" ht="30" customHeight="1">
      <c r="A89" s="97" t="s">
        <v>87</v>
      </c>
      <c r="B89" s="96">
        <f t="shared" si="0"/>
        <v>410</v>
      </c>
      <c r="C89" s="166">
        <f t="shared" si="4"/>
        <v>0</v>
      </c>
      <c r="D89" s="166"/>
      <c r="E89" s="166"/>
      <c r="F89" s="166">
        <f t="shared" si="6"/>
        <v>410</v>
      </c>
      <c r="G89" s="121"/>
      <c r="H89" s="121">
        <v>230</v>
      </c>
      <c r="I89" s="121">
        <v>160</v>
      </c>
      <c r="J89" s="121"/>
      <c r="K89" s="121">
        <v>20</v>
      </c>
      <c r="L89" s="121"/>
      <c r="M89" s="121"/>
      <c r="N89" s="121"/>
      <c r="O89" s="121"/>
      <c r="P89" s="121"/>
    </row>
    <row r="90" spans="1:16" ht="30" customHeight="1">
      <c r="A90" s="97" t="s">
        <v>90</v>
      </c>
      <c r="B90" s="96">
        <f t="shared" si="0"/>
        <v>2748</v>
      </c>
      <c r="C90" s="166">
        <f t="shared" si="4"/>
        <v>0</v>
      </c>
      <c r="D90" s="166"/>
      <c r="E90" s="166"/>
      <c r="F90" s="166">
        <f t="shared" si="6"/>
        <v>2748</v>
      </c>
      <c r="G90" s="121"/>
      <c r="H90" s="121">
        <v>1748</v>
      </c>
      <c r="I90" s="121">
        <v>980</v>
      </c>
      <c r="J90" s="121"/>
      <c r="K90" s="121">
        <v>20</v>
      </c>
      <c r="L90" s="121"/>
      <c r="M90" s="121"/>
      <c r="N90" s="121"/>
      <c r="O90" s="121"/>
      <c r="P90" s="121"/>
    </row>
    <row r="91" spans="1:16" ht="37.9" customHeight="1">
      <c r="A91" s="97" t="s">
        <v>152</v>
      </c>
      <c r="B91" s="96">
        <f t="shared" si="0"/>
        <v>19600</v>
      </c>
      <c r="C91" s="166">
        <f t="shared" si="4"/>
        <v>0</v>
      </c>
      <c r="D91" s="166"/>
      <c r="E91" s="166"/>
      <c r="F91" s="166">
        <f t="shared" si="6"/>
        <v>19600</v>
      </c>
      <c r="G91" s="121"/>
      <c r="H91" s="121">
        <v>16040</v>
      </c>
      <c r="I91" s="121">
        <v>3320</v>
      </c>
      <c r="J91" s="121"/>
      <c r="K91" s="121">
        <v>240</v>
      </c>
      <c r="L91" s="121"/>
      <c r="M91" s="121"/>
      <c r="N91" s="121"/>
      <c r="O91" s="121"/>
      <c r="P91" s="121"/>
    </row>
    <row r="92" spans="1:16" ht="30" customHeight="1">
      <c r="A92" s="97" t="s">
        <v>560</v>
      </c>
      <c r="B92" s="96">
        <f t="shared" si="0"/>
        <v>6665</v>
      </c>
      <c r="C92" s="166">
        <f t="shared" si="4"/>
        <v>0</v>
      </c>
      <c r="D92" s="166"/>
      <c r="E92" s="166"/>
      <c r="F92" s="166">
        <f t="shared" si="6"/>
        <v>6665</v>
      </c>
      <c r="G92" s="121"/>
      <c r="H92" s="121">
        <v>6605</v>
      </c>
      <c r="I92" s="121"/>
      <c r="J92" s="121"/>
      <c r="K92" s="121">
        <v>60</v>
      </c>
      <c r="L92" s="121"/>
      <c r="M92" s="121"/>
      <c r="N92" s="121"/>
      <c r="O92" s="121"/>
      <c r="P92" s="121"/>
    </row>
    <row r="93" spans="1:16" ht="30" customHeight="1">
      <c r="A93" s="97" t="s">
        <v>91</v>
      </c>
      <c r="B93" s="96">
        <f t="shared" si="7" ref="B93:B167">SUM(C93+F93,L93:P93)</f>
        <v>9500</v>
      </c>
      <c r="C93" s="166">
        <f t="shared" si="4"/>
        <v>0</v>
      </c>
      <c r="D93" s="166"/>
      <c r="E93" s="166"/>
      <c r="F93" s="166">
        <f t="shared" si="6"/>
        <v>9500</v>
      </c>
      <c r="G93" s="121"/>
      <c r="H93" s="121">
        <v>7599</v>
      </c>
      <c r="I93" s="121">
        <v>1831</v>
      </c>
      <c r="J93" s="121"/>
      <c r="K93" s="121">
        <v>70</v>
      </c>
      <c r="L93" s="121"/>
      <c r="M93" s="121"/>
      <c r="N93" s="121"/>
      <c r="O93" s="121"/>
      <c r="P93" s="121"/>
    </row>
    <row r="94" spans="1:16" ht="40.9" customHeight="1">
      <c r="A94" s="97" t="s">
        <v>85</v>
      </c>
      <c r="B94" s="96">
        <f t="shared" si="7"/>
        <v>5232</v>
      </c>
      <c r="C94" s="166">
        <f t="shared" si="4"/>
        <v>0</v>
      </c>
      <c r="D94" s="166"/>
      <c r="E94" s="166"/>
      <c r="F94" s="166">
        <f t="shared" si="6"/>
        <v>5232</v>
      </c>
      <c r="G94" s="121"/>
      <c r="H94" s="121">
        <v>5232</v>
      </c>
      <c r="I94" s="121"/>
      <c r="J94" s="121"/>
      <c r="K94" s="121"/>
      <c r="L94" s="121"/>
      <c r="M94" s="121"/>
      <c r="N94" s="121"/>
      <c r="O94" s="121"/>
      <c r="P94" s="121"/>
    </row>
    <row r="95" spans="1:16" ht="18" customHeight="1">
      <c r="A95" s="118" t="s">
        <v>9</v>
      </c>
      <c r="B95" s="96">
        <f t="shared" si="7"/>
        <v>119842</v>
      </c>
      <c r="C95" s="166">
        <f t="shared" si="4"/>
        <v>0</v>
      </c>
      <c r="D95" s="166"/>
      <c r="E95" s="166"/>
      <c r="F95" s="166">
        <f>SUM(G95:K95)</f>
        <v>119842</v>
      </c>
      <c r="G95" s="121"/>
      <c r="H95" s="121">
        <v>119842</v>
      </c>
      <c r="I95" s="121"/>
      <c r="J95" s="121"/>
      <c r="K95" s="121"/>
      <c r="L95" s="121"/>
      <c r="M95" s="121"/>
      <c r="N95" s="121"/>
      <c r="O95" s="121"/>
      <c r="P95" s="121"/>
    </row>
    <row r="96" spans="1:16" ht="18" customHeight="1">
      <c r="A96" s="160" t="s">
        <v>655</v>
      </c>
      <c r="B96" s="96">
        <f t="shared" si="7"/>
        <v>13234</v>
      </c>
      <c r="C96" s="166"/>
      <c r="D96" s="166"/>
      <c r="E96" s="166"/>
      <c r="F96" s="166">
        <f>SUM(G96:K96)</f>
        <v>13234</v>
      </c>
      <c r="G96" s="121"/>
      <c r="H96" s="121">
        <v>13234</v>
      </c>
      <c r="I96" s="121"/>
      <c r="J96" s="121"/>
      <c r="K96" s="121"/>
      <c r="L96" s="121"/>
      <c r="M96" s="121"/>
      <c r="N96" s="121"/>
      <c r="O96" s="121"/>
      <c r="P96" s="121"/>
    </row>
    <row r="97" spans="1:16" ht="20.45" customHeight="1">
      <c r="A97" s="97" t="s">
        <v>127</v>
      </c>
      <c r="B97" s="96">
        <f t="shared" si="7"/>
        <v>112585</v>
      </c>
      <c r="C97" s="166">
        <f t="shared" si="4"/>
        <v>0</v>
      </c>
      <c r="D97" s="166"/>
      <c r="E97" s="166"/>
      <c r="F97" s="166">
        <f>SUM(G97:K97)</f>
        <v>112585</v>
      </c>
      <c r="G97" s="121"/>
      <c r="H97" s="121">
        <v>110585</v>
      </c>
      <c r="I97" s="121"/>
      <c r="J97" s="121"/>
      <c r="K97" s="121">
        <v>2000</v>
      </c>
      <c r="L97" s="121"/>
      <c r="M97" s="121"/>
      <c r="N97" s="121"/>
      <c r="O97" s="121"/>
      <c r="P97" s="121"/>
    </row>
    <row r="98" spans="1:16" ht="21" customHeight="1">
      <c r="A98" s="118" t="s">
        <v>131</v>
      </c>
      <c r="B98" s="164">
        <f t="shared" si="7"/>
        <v>58549</v>
      </c>
      <c r="C98" s="166">
        <f t="shared" si="4"/>
        <v>0</v>
      </c>
      <c r="D98" s="166"/>
      <c r="E98" s="166"/>
      <c r="F98" s="166">
        <f>SUM(G98:K98)</f>
        <v>27549</v>
      </c>
      <c r="G98" s="121"/>
      <c r="H98" s="121">
        <v>27549</v>
      </c>
      <c r="I98" s="121"/>
      <c r="J98" s="121"/>
      <c r="K98" s="121"/>
      <c r="L98" s="121"/>
      <c r="M98" s="121"/>
      <c r="N98" s="121"/>
      <c r="O98" s="121">
        <v>31000</v>
      </c>
      <c r="P98" s="121"/>
    </row>
    <row r="99" spans="1:16" s="86" customFormat="1" ht="32.25" customHeight="1">
      <c r="A99" s="118" t="s">
        <v>739</v>
      </c>
      <c r="B99" s="96">
        <f t="shared" si="7"/>
        <v>100000</v>
      </c>
      <c r="C99" s="166">
        <f t="shared" si="4"/>
        <v>0</v>
      </c>
      <c r="D99" s="166"/>
      <c r="E99" s="166"/>
      <c r="F99" s="166">
        <f>SUM(G99:K99)</f>
        <v>0</v>
      </c>
      <c r="G99" s="121"/>
      <c r="H99" s="121"/>
      <c r="I99" s="121"/>
      <c r="J99" s="121"/>
      <c r="K99" s="121"/>
      <c r="L99" s="121"/>
      <c r="M99" s="121"/>
      <c r="N99" s="121">
        <v>100000</v>
      </c>
      <c r="O99" s="121"/>
      <c r="P99" s="121"/>
    </row>
    <row r="100" spans="1:16" ht="30" customHeight="1">
      <c r="A100" s="97" t="s">
        <v>10</v>
      </c>
      <c r="B100" s="96">
        <f t="shared" si="7"/>
        <v>41492</v>
      </c>
      <c r="C100" s="166">
        <f t="shared" si="4"/>
        <v>34195</v>
      </c>
      <c r="D100" s="166">
        <v>27668</v>
      </c>
      <c r="E100" s="166">
        <v>6527</v>
      </c>
      <c r="F100" s="166">
        <f t="shared" si="8" ref="F100:F130">SUM(G100:K100)</f>
        <v>7297</v>
      </c>
      <c r="G100" s="121"/>
      <c r="H100" s="121">
        <v>3041</v>
      </c>
      <c r="I100" s="121">
        <f>2550+1446+260</f>
        <v>4256</v>
      </c>
      <c r="J100" s="121"/>
      <c r="K100" s="121"/>
      <c r="L100" s="121"/>
      <c r="M100" s="121"/>
      <c r="N100" s="121"/>
      <c r="O100" s="121"/>
      <c r="P100" s="121"/>
    </row>
    <row r="101" spans="1:16" ht="30" customHeight="1">
      <c r="A101" s="97" t="s">
        <v>660</v>
      </c>
      <c r="B101" s="96">
        <f>SUM(C101+F101,L101:P101)</f>
        <v>158513</v>
      </c>
      <c r="C101" s="166">
        <f t="shared" si="4"/>
        <v>90240</v>
      </c>
      <c r="D101" s="166">
        <v>74057</v>
      </c>
      <c r="E101" s="166">
        <v>16183</v>
      </c>
      <c r="F101" s="166">
        <f>SUM(G101:K101)</f>
        <v>43754</v>
      </c>
      <c r="G101" s="121"/>
      <c r="H101" s="121">
        <f>16799+H102</f>
        <v>17693</v>
      </c>
      <c r="I101" s="121">
        <f>26475+120+I102</f>
        <v>25701</v>
      </c>
      <c r="J101" s="121"/>
      <c r="K101" s="121">
        <v>360</v>
      </c>
      <c r="L101" s="121"/>
      <c r="M101" s="121"/>
      <c r="N101" s="121">
        <f>16219+N102</f>
        <v>24519</v>
      </c>
      <c r="O101" s="121"/>
      <c r="P101" s="121"/>
    </row>
    <row r="102" spans="1:16" ht="30" customHeight="1">
      <c r="A102" s="191" t="s">
        <v>760</v>
      </c>
      <c r="B102" s="96">
        <f>SUM(C102+F102,L102:P102)</f>
        <v>8300</v>
      </c>
      <c r="C102" s="166">
        <f t="shared" si="4"/>
        <v>0</v>
      </c>
      <c r="D102" s="166"/>
      <c r="E102" s="166"/>
      <c r="F102" s="166">
        <f>SUM(G102:K102)</f>
        <v>0</v>
      </c>
      <c r="G102" s="121"/>
      <c r="H102" s="121">
        <v>894</v>
      </c>
      <c r="I102" s="121">
        <v>-894</v>
      </c>
      <c r="J102" s="121"/>
      <c r="K102" s="121"/>
      <c r="L102" s="121"/>
      <c r="M102" s="121"/>
      <c r="N102" s="121">
        <v>8300</v>
      </c>
      <c r="O102" s="121"/>
      <c r="P102" s="121"/>
    </row>
    <row r="103" spans="1:16" ht="30" customHeight="1">
      <c r="A103" s="97" t="s">
        <v>207</v>
      </c>
      <c r="B103" s="96">
        <f t="shared" si="7"/>
        <v>97163</v>
      </c>
      <c r="C103" s="166">
        <f t="shared" si="4"/>
        <v>63834</v>
      </c>
      <c r="D103" s="166">
        <v>51569</v>
      </c>
      <c r="E103" s="166">
        <v>12265</v>
      </c>
      <c r="F103" s="166">
        <f t="shared" si="8"/>
        <v>33329</v>
      </c>
      <c r="G103" s="121"/>
      <c r="H103" s="121">
        <v>8949</v>
      </c>
      <c r="I103" s="121">
        <v>23920</v>
      </c>
      <c r="J103" s="121"/>
      <c r="K103" s="121">
        <f>460</f>
        <v>460</v>
      </c>
      <c r="L103" s="121"/>
      <c r="M103" s="121"/>
      <c r="N103" s="121"/>
      <c r="O103" s="121"/>
      <c r="P103" s="121"/>
    </row>
    <row r="104" spans="1:16" ht="25.9" customHeight="1">
      <c r="A104" s="97" t="s">
        <v>11</v>
      </c>
      <c r="B104" s="96">
        <f t="shared" si="7"/>
        <v>51682</v>
      </c>
      <c r="C104" s="166">
        <f t="shared" si="4"/>
        <v>38099</v>
      </c>
      <c r="D104" s="166">
        <v>31138</v>
      </c>
      <c r="E104" s="166">
        <v>6961</v>
      </c>
      <c r="F104" s="166">
        <f t="shared" si="8"/>
        <v>13583</v>
      </c>
      <c r="G104" s="121"/>
      <c r="H104" s="121">
        <f>7993+H105</f>
        <v>7593</v>
      </c>
      <c r="I104" s="121">
        <f>5270+I105</f>
        <v>5670</v>
      </c>
      <c r="J104" s="121"/>
      <c r="K104" s="121">
        <v>320</v>
      </c>
      <c r="L104" s="121"/>
      <c r="M104" s="121"/>
      <c r="N104" s="121"/>
      <c r="O104" s="121"/>
      <c r="P104" s="121"/>
    </row>
    <row r="105" spans="1:16" ht="25.9" customHeight="1">
      <c r="A105" s="191" t="s">
        <v>760</v>
      </c>
      <c r="B105" s="96">
        <f t="shared" si="7"/>
        <v>0</v>
      </c>
      <c r="C105" s="166">
        <f t="shared" si="4"/>
        <v>0</v>
      </c>
      <c r="D105" s="166"/>
      <c r="E105" s="166"/>
      <c r="F105" s="166">
        <f t="shared" si="8"/>
        <v>0</v>
      </c>
      <c r="G105" s="121"/>
      <c r="H105" s="121">
        <v>-400</v>
      </c>
      <c r="I105" s="121">
        <v>400</v>
      </c>
      <c r="J105" s="121"/>
      <c r="K105" s="121"/>
      <c r="L105" s="121"/>
      <c r="M105" s="121"/>
      <c r="N105" s="121"/>
      <c r="O105" s="121"/>
      <c r="P105" s="121"/>
    </row>
    <row r="106" spans="1:16" s="86" customFormat="1" ht="30" customHeight="1">
      <c r="A106" s="97" t="s">
        <v>12</v>
      </c>
      <c r="B106" s="96">
        <f t="shared" si="7"/>
        <v>53014</v>
      </c>
      <c r="C106" s="166">
        <f t="shared" si="4"/>
        <v>37861</v>
      </c>
      <c r="D106" s="166">
        <v>30634</v>
      </c>
      <c r="E106" s="166">
        <v>7227</v>
      </c>
      <c r="F106" s="166">
        <f t="shared" si="8"/>
        <v>14478</v>
      </c>
      <c r="G106" s="121"/>
      <c r="H106" s="121">
        <f>8272+H107</f>
        <v>7678</v>
      </c>
      <c r="I106" s="121">
        <v>6650</v>
      </c>
      <c r="J106" s="121"/>
      <c r="K106" s="121">
        <f>K107</f>
        <v>150</v>
      </c>
      <c r="L106" s="121"/>
      <c r="M106" s="121"/>
      <c r="N106" s="121">
        <f>N107</f>
        <v>675</v>
      </c>
      <c r="O106" s="121"/>
      <c r="P106" s="121"/>
    </row>
    <row r="107" spans="1:16" s="86" customFormat="1" ht="30" customHeight="1">
      <c r="A107" s="191" t="s">
        <v>760</v>
      </c>
      <c r="B107" s="96">
        <f t="shared" si="7"/>
        <v>231</v>
      </c>
      <c r="C107" s="166">
        <f t="shared" si="4"/>
        <v>0</v>
      </c>
      <c r="D107" s="166"/>
      <c r="E107" s="166"/>
      <c r="F107" s="166">
        <f t="shared" si="8"/>
        <v>-444</v>
      </c>
      <c r="G107" s="121"/>
      <c r="H107" s="121">
        <v>-594</v>
      </c>
      <c r="I107" s="121"/>
      <c r="J107" s="121"/>
      <c r="K107" s="121">
        <v>150</v>
      </c>
      <c r="L107" s="121"/>
      <c r="M107" s="121"/>
      <c r="N107" s="121">
        <v>675</v>
      </c>
      <c r="O107" s="121"/>
      <c r="P107" s="121"/>
    </row>
    <row r="108" spans="1:16" ht="30" customHeight="1">
      <c r="A108" s="97" t="s">
        <v>13</v>
      </c>
      <c r="B108" s="96">
        <f t="shared" si="7"/>
        <v>40562</v>
      </c>
      <c r="C108" s="166">
        <f t="shared" si="4"/>
        <v>23641</v>
      </c>
      <c r="D108" s="166">
        <v>19316</v>
      </c>
      <c r="E108" s="166">
        <v>4325</v>
      </c>
      <c r="F108" s="166">
        <f t="shared" si="8"/>
        <v>14246</v>
      </c>
      <c r="G108" s="121"/>
      <c r="H108" s="121">
        <f>10296+H109</f>
        <v>9846</v>
      </c>
      <c r="I108" s="121">
        <f>4050+I109</f>
        <v>4100</v>
      </c>
      <c r="J108" s="121"/>
      <c r="K108" s="121">
        <v>300</v>
      </c>
      <c r="L108" s="121"/>
      <c r="M108" s="121"/>
      <c r="N108" s="121">
        <f>N109</f>
        <v>2675</v>
      </c>
      <c r="O108" s="121"/>
      <c r="P108" s="121"/>
    </row>
    <row r="109" spans="1:16" ht="30" customHeight="1">
      <c r="A109" s="191" t="s">
        <v>760</v>
      </c>
      <c r="B109" s="96">
        <f t="shared" si="7"/>
        <v>2275</v>
      </c>
      <c r="C109" s="166">
        <f t="shared" si="4"/>
        <v>0</v>
      </c>
      <c r="D109" s="166"/>
      <c r="E109" s="166"/>
      <c r="F109" s="166">
        <f t="shared" si="8"/>
        <v>-400</v>
      </c>
      <c r="G109" s="121"/>
      <c r="H109" s="121">
        <v>-450</v>
      </c>
      <c r="I109" s="121">
        <v>50</v>
      </c>
      <c r="J109" s="121"/>
      <c r="K109" s="121"/>
      <c r="L109" s="121"/>
      <c r="M109" s="121"/>
      <c r="N109" s="121">
        <f>2275+400</f>
        <v>2675</v>
      </c>
      <c r="O109" s="121"/>
      <c r="P109" s="121"/>
    </row>
    <row r="110" spans="1:16" ht="30" customHeight="1">
      <c r="A110" s="97" t="s">
        <v>14</v>
      </c>
      <c r="B110" s="96">
        <f t="shared" si="7"/>
        <v>78088</v>
      </c>
      <c r="C110" s="166">
        <f t="shared" si="4"/>
        <v>61973</v>
      </c>
      <c r="D110" s="166">
        <v>50063</v>
      </c>
      <c r="E110" s="166">
        <v>11910</v>
      </c>
      <c r="F110" s="166">
        <f t="shared" si="8"/>
        <v>16115</v>
      </c>
      <c r="G110" s="121"/>
      <c r="H110" s="121">
        <v>9088</v>
      </c>
      <c r="I110" s="121">
        <f>5463+1162</f>
        <v>6625</v>
      </c>
      <c r="J110" s="121"/>
      <c r="K110" s="121">
        <v>402</v>
      </c>
      <c r="L110" s="121"/>
      <c r="M110" s="121"/>
      <c r="N110" s="121"/>
      <c r="O110" s="121"/>
      <c r="P110" s="121"/>
    </row>
    <row r="111" spans="1:16" ht="21.75" customHeight="1">
      <c r="A111" s="97" t="s">
        <v>253</v>
      </c>
      <c r="B111" s="96">
        <f t="shared" si="7"/>
        <v>120675</v>
      </c>
      <c r="C111" s="166">
        <f t="shared" si="4"/>
        <v>73486</v>
      </c>
      <c r="D111" s="166">
        <v>59588</v>
      </c>
      <c r="E111" s="166">
        <v>13898</v>
      </c>
      <c r="F111" s="166">
        <f t="shared" si="8"/>
        <v>46339</v>
      </c>
      <c r="G111" s="121"/>
      <c r="H111" s="121">
        <v>35749</v>
      </c>
      <c r="I111" s="121">
        <v>10590</v>
      </c>
      <c r="J111" s="121"/>
      <c r="K111" s="121"/>
      <c r="L111" s="121"/>
      <c r="M111" s="121"/>
      <c r="N111" s="121">
        <v>850</v>
      </c>
      <c r="O111" s="121"/>
      <c r="P111" s="121"/>
    </row>
    <row r="112" spans="1:16" ht="30" customHeight="1">
      <c r="A112" s="157" t="s">
        <v>92</v>
      </c>
      <c r="B112" s="96">
        <f t="shared" si="7"/>
        <v>111676</v>
      </c>
      <c r="C112" s="166">
        <f t="shared" si="4"/>
        <v>68897</v>
      </c>
      <c r="D112" s="172">
        <v>55869</v>
      </c>
      <c r="E112" s="172">
        <v>13028</v>
      </c>
      <c r="F112" s="166">
        <f>SUM(G112:K112)</f>
        <v>42779</v>
      </c>
      <c r="G112" s="121"/>
      <c r="H112" s="121">
        <f>15808+H113</f>
        <v>28419</v>
      </c>
      <c r="I112" s="121">
        <v>13910</v>
      </c>
      <c r="J112" s="121"/>
      <c r="K112" s="121">
        <v>450</v>
      </c>
      <c r="L112" s="121"/>
      <c r="M112" s="121"/>
      <c r="N112" s="123"/>
      <c r="O112" s="121"/>
      <c r="P112" s="121"/>
    </row>
    <row r="113" spans="1:16" ht="30" customHeight="1">
      <c r="A113" s="194" t="s">
        <v>760</v>
      </c>
      <c r="B113" s="96">
        <f t="shared" si="7"/>
        <v>12611</v>
      </c>
      <c r="C113" s="166">
        <f t="shared" si="4"/>
        <v>0</v>
      </c>
      <c r="D113" s="172"/>
      <c r="E113" s="172"/>
      <c r="F113" s="166">
        <f>SUM(G113:K113)</f>
        <v>12611</v>
      </c>
      <c r="G113" s="121"/>
      <c r="H113" s="121">
        <v>12611</v>
      </c>
      <c r="I113" s="121"/>
      <c r="J113" s="121"/>
      <c r="K113" s="121"/>
      <c r="L113" s="121"/>
      <c r="M113" s="121"/>
      <c r="N113" s="193"/>
      <c r="O113" s="121"/>
      <c r="P113" s="121"/>
    </row>
    <row r="114" spans="1:16" ht="19.5" customHeight="1">
      <c r="A114" s="97" t="s">
        <v>15</v>
      </c>
      <c r="B114" s="96">
        <f t="shared" si="7"/>
        <v>56503</v>
      </c>
      <c r="C114" s="166">
        <f t="shared" si="4"/>
        <v>41582</v>
      </c>
      <c r="D114" s="166">
        <v>33645</v>
      </c>
      <c r="E114" s="166">
        <v>7937</v>
      </c>
      <c r="F114" s="166">
        <f t="shared" si="8"/>
        <v>14921</v>
      </c>
      <c r="G114" s="121"/>
      <c r="H114" s="121">
        <v>4171</v>
      </c>
      <c r="I114" s="121">
        <f>10750</f>
        <v>10750</v>
      </c>
      <c r="J114" s="121"/>
      <c r="K114" s="121"/>
      <c r="L114" s="121"/>
      <c r="M114" s="121"/>
      <c r="N114" s="121"/>
      <c r="O114" s="121"/>
      <c r="P114" s="121"/>
    </row>
    <row r="115" spans="1:16" ht="29.25" customHeight="1">
      <c r="A115" s="97" t="s">
        <v>658</v>
      </c>
      <c r="B115" s="96">
        <f t="shared" si="7"/>
        <v>22274</v>
      </c>
      <c r="C115" s="166">
        <f t="shared" si="4"/>
        <v>13126</v>
      </c>
      <c r="D115" s="166">
        <f>6180+4440</f>
        <v>10620</v>
      </c>
      <c r="E115" s="166">
        <f>1458+1048</f>
        <v>2506</v>
      </c>
      <c r="F115" s="166">
        <f t="shared" si="8"/>
        <v>9148</v>
      </c>
      <c r="G115" s="121"/>
      <c r="H115" s="121">
        <f>1515+2891+1987</f>
        <v>6393</v>
      </c>
      <c r="I115" s="121">
        <f>567+2060</f>
        <v>2627</v>
      </c>
      <c r="J115" s="121"/>
      <c r="K115" s="121">
        <v>128</v>
      </c>
      <c r="L115" s="121"/>
      <c r="M115" s="121"/>
      <c r="N115" s="121"/>
      <c r="O115" s="121"/>
      <c r="P115" s="121"/>
    </row>
    <row r="116" spans="1:16" ht="25.5" customHeight="1">
      <c r="A116" s="157" t="s">
        <v>93</v>
      </c>
      <c r="B116" s="96">
        <f t="shared" si="7"/>
        <v>203735</v>
      </c>
      <c r="C116" s="166">
        <f t="shared" si="4"/>
        <v>142535</v>
      </c>
      <c r="D116" s="172">
        <v>116270</v>
      </c>
      <c r="E116" s="172">
        <v>26265</v>
      </c>
      <c r="F116" s="166">
        <f t="shared" si="8"/>
        <v>60600</v>
      </c>
      <c r="G116" s="121"/>
      <c r="H116" s="121">
        <f>15690+20000+1500+H117</f>
        <v>38490</v>
      </c>
      <c r="I116" s="121">
        <v>21910</v>
      </c>
      <c r="J116" s="121"/>
      <c r="K116" s="121">
        <v>200</v>
      </c>
      <c r="L116" s="121"/>
      <c r="M116" s="121"/>
      <c r="N116" s="123">
        <f>N117</f>
        <v>600</v>
      </c>
      <c r="O116" s="121"/>
      <c r="P116" s="121"/>
    </row>
    <row r="117" spans="1:16" ht="25.5" customHeight="1">
      <c r="A117" s="194" t="s">
        <v>760</v>
      </c>
      <c r="B117" s="96">
        <f t="shared" si="7"/>
        <v>1900</v>
      </c>
      <c r="C117" s="166">
        <f t="shared" si="4"/>
        <v>0</v>
      </c>
      <c r="D117" s="172"/>
      <c r="E117" s="172"/>
      <c r="F117" s="166">
        <f t="shared" si="8"/>
        <v>1300</v>
      </c>
      <c r="G117" s="121"/>
      <c r="H117" s="121">
        <v>1300</v>
      </c>
      <c r="I117" s="121"/>
      <c r="J117" s="121"/>
      <c r="K117" s="121"/>
      <c r="L117" s="121"/>
      <c r="M117" s="121"/>
      <c r="N117" s="193">
        <v>600</v>
      </c>
      <c r="O117" s="121"/>
      <c r="P117" s="121"/>
    </row>
    <row r="118" spans="1:16" ht="24.75" customHeight="1">
      <c r="A118" s="97" t="s">
        <v>255</v>
      </c>
      <c r="B118" s="96">
        <f t="shared" si="7"/>
        <v>33961</v>
      </c>
      <c r="C118" s="166">
        <f t="shared" si="4"/>
        <v>22484</v>
      </c>
      <c r="D118" s="166">
        <f>4548+13644</f>
        <v>18192</v>
      </c>
      <c r="E118" s="166">
        <f>1073+3219</f>
        <v>4292</v>
      </c>
      <c r="F118" s="166">
        <f t="shared" si="8"/>
        <v>11477</v>
      </c>
      <c r="G118" s="121"/>
      <c r="H118" s="121">
        <v>5654</v>
      </c>
      <c r="I118" s="121">
        <v>5823</v>
      </c>
      <c r="J118" s="121"/>
      <c r="K118" s="121"/>
      <c r="L118" s="121"/>
      <c r="M118" s="121"/>
      <c r="N118" s="121"/>
      <c r="O118" s="121"/>
      <c r="P118" s="121"/>
    </row>
    <row r="119" spans="1:16" ht="27" customHeight="1">
      <c r="A119" s="97" t="s">
        <v>16</v>
      </c>
      <c r="B119" s="96">
        <f t="shared" si="7"/>
        <v>115342</v>
      </c>
      <c r="C119" s="166">
        <f t="shared" si="9" ref="C119:C182">D119+E119</f>
        <v>84306</v>
      </c>
      <c r="D119" s="166">
        <v>74223</v>
      </c>
      <c r="E119" s="166">
        <v>10083</v>
      </c>
      <c r="F119" s="166">
        <f t="shared" si="8"/>
        <v>27136</v>
      </c>
      <c r="G119" s="121"/>
      <c r="H119" s="121">
        <v>14096</v>
      </c>
      <c r="I119" s="121">
        <v>12830</v>
      </c>
      <c r="J119" s="121"/>
      <c r="K119" s="121">
        <v>210</v>
      </c>
      <c r="L119" s="121"/>
      <c r="M119" s="121"/>
      <c r="N119" s="121">
        <f>N120</f>
        <v>3900</v>
      </c>
      <c r="O119" s="121"/>
      <c r="P119" s="121"/>
    </row>
    <row r="120" spans="1:16" ht="27" customHeight="1">
      <c r="A120" s="191" t="s">
        <v>760</v>
      </c>
      <c r="B120" s="96">
        <f t="shared" si="7"/>
        <v>3900</v>
      </c>
      <c r="C120" s="166">
        <f t="shared" si="9"/>
        <v>0</v>
      </c>
      <c r="D120" s="166"/>
      <c r="E120" s="166"/>
      <c r="F120" s="166">
        <f t="shared" si="8"/>
        <v>0</v>
      </c>
      <c r="G120" s="121"/>
      <c r="H120" s="121"/>
      <c r="I120" s="121"/>
      <c r="J120" s="121"/>
      <c r="K120" s="121"/>
      <c r="L120" s="121"/>
      <c r="M120" s="121"/>
      <c r="N120" s="121">
        <v>3900</v>
      </c>
      <c r="O120" s="121"/>
      <c r="P120" s="121"/>
    </row>
    <row r="121" spans="1:16" ht="31.5" customHeight="1">
      <c r="A121" s="97" t="s">
        <v>17</v>
      </c>
      <c r="B121" s="96">
        <f t="shared" si="7"/>
        <v>73539</v>
      </c>
      <c r="C121" s="166">
        <f t="shared" si="9"/>
        <v>38856</v>
      </c>
      <c r="D121" s="166">
        <v>31440</v>
      </c>
      <c r="E121" s="166">
        <v>7416</v>
      </c>
      <c r="F121" s="166">
        <f t="shared" si="8"/>
        <v>10849</v>
      </c>
      <c r="G121" s="121"/>
      <c r="H121" s="121">
        <v>6039</v>
      </c>
      <c r="I121" s="121">
        <v>4610</v>
      </c>
      <c r="J121" s="121"/>
      <c r="K121" s="121">
        <v>200</v>
      </c>
      <c r="L121" s="121"/>
      <c r="M121" s="121"/>
      <c r="N121" s="121">
        <f>14641+9193</f>
        <v>23834</v>
      </c>
      <c r="O121" s="121"/>
      <c r="P121" s="121"/>
    </row>
    <row r="122" spans="1:16" ht="23.25" customHeight="1">
      <c r="A122" s="97" t="s">
        <v>136</v>
      </c>
      <c r="B122" s="96">
        <f t="shared" si="7"/>
        <v>97562</v>
      </c>
      <c r="C122" s="166">
        <f t="shared" si="9"/>
        <v>44997</v>
      </c>
      <c r="D122" s="166">
        <f>25752+10656</f>
        <v>36408</v>
      </c>
      <c r="E122" s="166">
        <f>6075+2514</f>
        <v>8589</v>
      </c>
      <c r="F122" s="166">
        <f t="shared" si="8"/>
        <v>14205</v>
      </c>
      <c r="G122" s="121"/>
      <c r="H122" s="121">
        <v>5820</v>
      </c>
      <c r="I122" s="121">
        <v>8385</v>
      </c>
      <c r="J122" s="121"/>
      <c r="K122" s="108"/>
      <c r="L122" s="121"/>
      <c r="M122" s="121"/>
      <c r="N122" s="121">
        <v>38360</v>
      </c>
      <c r="O122" s="121"/>
      <c r="P122" s="121"/>
    </row>
    <row r="123" spans="1:16" ht="27.75" customHeight="1">
      <c r="A123" s="97" t="s">
        <v>18</v>
      </c>
      <c r="B123" s="96">
        <f t="shared" si="7"/>
        <v>101701</v>
      </c>
      <c r="C123" s="166">
        <f t="shared" si="9"/>
        <v>81038</v>
      </c>
      <c r="D123" s="166">
        <v>65570</v>
      </c>
      <c r="E123" s="166">
        <v>15468</v>
      </c>
      <c r="F123" s="166">
        <f t="shared" si="8"/>
        <v>20663</v>
      </c>
      <c r="G123" s="121"/>
      <c r="H123" s="121">
        <v>7892</v>
      </c>
      <c r="I123" s="121">
        <v>12571</v>
      </c>
      <c r="J123" s="121"/>
      <c r="K123" s="121">
        <v>200</v>
      </c>
      <c r="L123" s="121"/>
      <c r="M123" s="121"/>
      <c r="N123" s="121">
        <v>0</v>
      </c>
      <c r="O123" s="121"/>
      <c r="P123" s="121"/>
    </row>
    <row r="124" spans="1:16" ht="27.75" customHeight="1">
      <c r="A124" s="97" t="s">
        <v>656</v>
      </c>
      <c r="B124" s="96">
        <f t="shared" si="7"/>
        <v>19513</v>
      </c>
      <c r="C124" s="166">
        <f t="shared" si="9"/>
        <v>12977</v>
      </c>
      <c r="D124" s="166">
        <v>10500</v>
      </c>
      <c r="E124" s="166">
        <v>2477</v>
      </c>
      <c r="F124" s="166">
        <f t="shared" si="8"/>
        <v>6536</v>
      </c>
      <c r="G124" s="121"/>
      <c r="H124" s="121">
        <v>2000</v>
      </c>
      <c r="I124" s="121">
        <v>4536</v>
      </c>
      <c r="J124" s="121"/>
      <c r="K124" s="121"/>
      <c r="L124" s="121"/>
      <c r="M124" s="121"/>
      <c r="N124" s="121">
        <v>0</v>
      </c>
      <c r="O124" s="121"/>
      <c r="P124" s="121"/>
    </row>
    <row r="125" spans="1:16" ht="27.75" customHeight="1">
      <c r="A125" s="97" t="s">
        <v>657</v>
      </c>
      <c r="B125" s="96">
        <f t="shared" si="7"/>
        <v>35634</v>
      </c>
      <c r="C125" s="166">
        <f t="shared" si="9"/>
        <v>22231</v>
      </c>
      <c r="D125" s="166">
        <v>17988</v>
      </c>
      <c r="E125" s="166">
        <v>4243</v>
      </c>
      <c r="F125" s="166">
        <f t="shared" si="8"/>
        <v>13403</v>
      </c>
      <c r="G125" s="121"/>
      <c r="H125" s="121">
        <v>3226</v>
      </c>
      <c r="I125" s="121">
        <v>10177</v>
      </c>
      <c r="J125" s="121"/>
      <c r="K125" s="121"/>
      <c r="L125" s="121"/>
      <c r="M125" s="121"/>
      <c r="N125" s="121"/>
      <c r="O125" s="121"/>
      <c r="P125" s="121"/>
    </row>
    <row r="126" spans="1:16" ht="27.75" customHeight="1">
      <c r="A126" s="161" t="s">
        <v>663</v>
      </c>
      <c r="B126" s="164">
        <f t="shared" si="7"/>
        <v>257174</v>
      </c>
      <c r="C126" s="166">
        <f t="shared" si="9"/>
        <v>205666</v>
      </c>
      <c r="D126" s="166">
        <v>166302</v>
      </c>
      <c r="E126" s="166">
        <v>39364</v>
      </c>
      <c r="F126" s="166">
        <f t="shared" si="8"/>
        <v>51508</v>
      </c>
      <c r="G126" s="121"/>
      <c r="H126" s="121">
        <v>24893</v>
      </c>
      <c r="I126" s="121">
        <v>26615</v>
      </c>
      <c r="J126" s="121"/>
      <c r="K126" s="121"/>
      <c r="L126" s="121"/>
      <c r="M126" s="121"/>
      <c r="N126" s="121"/>
      <c r="O126" s="121"/>
      <c r="P126" s="121"/>
    </row>
    <row r="127" spans="1:16" ht="34.5" customHeight="1">
      <c r="A127" s="161" t="s">
        <v>735</v>
      </c>
      <c r="B127" s="164">
        <f t="shared" si="7"/>
        <v>57147</v>
      </c>
      <c r="C127" s="166"/>
      <c r="D127" s="166"/>
      <c r="E127" s="166"/>
      <c r="F127" s="166"/>
      <c r="G127" s="121"/>
      <c r="H127" s="121"/>
      <c r="I127" s="121"/>
      <c r="J127" s="121"/>
      <c r="K127" s="121"/>
      <c r="L127" s="121"/>
      <c r="M127" s="121"/>
      <c r="N127" s="121">
        <f>86133+N128</f>
        <v>57147</v>
      </c>
      <c r="O127" s="121"/>
      <c r="P127" s="121"/>
    </row>
    <row r="128" spans="1:16" ht="34.5" customHeight="1">
      <c r="A128" s="191" t="s">
        <v>760</v>
      </c>
      <c r="B128" s="164">
        <f t="shared" si="7"/>
        <v>-28986</v>
      </c>
      <c r="C128" s="166"/>
      <c r="D128" s="166"/>
      <c r="E128" s="166"/>
      <c r="F128" s="166"/>
      <c r="G128" s="121"/>
      <c r="H128" s="121"/>
      <c r="I128" s="121"/>
      <c r="J128" s="121"/>
      <c r="K128" s="121"/>
      <c r="L128" s="121"/>
      <c r="M128" s="121"/>
      <c r="N128" s="121">
        <f>-16786+(-12200)</f>
        <v>-28986</v>
      </c>
      <c r="O128" s="121"/>
      <c r="P128" s="121"/>
    </row>
    <row r="129" spans="1:16" ht="24.75" customHeight="1">
      <c r="A129" s="161" t="s">
        <v>19</v>
      </c>
      <c r="B129" s="164">
        <f t="shared" si="7"/>
        <v>1820485</v>
      </c>
      <c r="C129" s="166">
        <f t="shared" si="9"/>
        <v>768343</v>
      </c>
      <c r="D129" s="166">
        <f>63323+125878+83468+125588+182072+19200+D130</f>
        <v>599529</v>
      </c>
      <c r="E129" s="166">
        <f>18103+35692+23534+35372+50585+5528+E130</f>
        <v>168814</v>
      </c>
      <c r="F129" s="166">
        <f t="shared" si="8"/>
        <v>966441</v>
      </c>
      <c r="G129" s="121">
        <f>8+64+8+G130</f>
        <v>80</v>
      </c>
      <c r="H129" s="121">
        <f>32127+10254+88983+6111+389704+4791+H130</f>
        <v>531970</v>
      </c>
      <c r="I129" s="121">
        <f>12032+24062+13870+10755+59360+211+I130</f>
        <v>120290</v>
      </c>
      <c r="J129" s="121"/>
      <c r="K129" s="121">
        <f>59715+4644+59450+39200+150392+700+K130</f>
        <v>314101</v>
      </c>
      <c r="L129" s="121"/>
      <c r="M129" s="121"/>
      <c r="N129" s="121">
        <f>4800+12000+29200+N130</f>
        <v>85701</v>
      </c>
      <c r="O129" s="121"/>
      <c r="P129" s="121">
        <f>P130</f>
        <v>0</v>
      </c>
    </row>
    <row r="130" spans="1:16" ht="24.75" customHeight="1">
      <c r="A130" s="191" t="s">
        <v>760</v>
      </c>
      <c r="B130" s="164">
        <f t="shared" si="7"/>
        <v>39701</v>
      </c>
      <c r="C130" s="166">
        <f t="shared" si="9"/>
        <v>0</v>
      </c>
      <c r="D130" s="166"/>
      <c r="E130" s="166"/>
      <c r="F130" s="166">
        <f t="shared" si="8"/>
        <v>0</v>
      </c>
      <c r="G130" s="121"/>
      <c r="H130" s="121"/>
      <c r="I130" s="121"/>
      <c r="J130" s="121"/>
      <c r="K130" s="121"/>
      <c r="L130" s="121"/>
      <c r="M130" s="121"/>
      <c r="N130" s="121">
        <v>39701</v>
      </c>
      <c r="O130" s="121"/>
      <c r="P130" s="121"/>
    </row>
    <row r="131" spans="1:16" ht="36.75" customHeight="1">
      <c r="A131" s="161" t="s">
        <v>120</v>
      </c>
      <c r="B131" s="164">
        <f t="shared" si="7"/>
        <v>82437</v>
      </c>
      <c r="C131" s="166">
        <f t="shared" si="9"/>
        <v>0</v>
      </c>
      <c r="D131" s="166"/>
      <c r="E131" s="166"/>
      <c r="F131" s="166">
        <f>SUM(G131:K131)</f>
        <v>82437</v>
      </c>
      <c r="G131" s="121"/>
      <c r="H131" s="121">
        <f>31130+48807</f>
        <v>79937</v>
      </c>
      <c r="I131" s="121">
        <v>2500</v>
      </c>
      <c r="J131" s="121"/>
      <c r="K131" s="121"/>
      <c r="L131" s="121"/>
      <c r="M131" s="121"/>
      <c r="N131" s="121"/>
      <c r="O131" s="121"/>
      <c r="P131" s="121"/>
    </row>
    <row r="132" spans="1:16" ht="25.5" customHeight="1">
      <c r="A132" s="161" t="s">
        <v>628</v>
      </c>
      <c r="B132" s="164">
        <f>SUM(C132+F132,L132:P132)</f>
        <v>489063</v>
      </c>
      <c r="C132" s="166">
        <f t="shared" si="9"/>
        <v>358464</v>
      </c>
      <c r="D132" s="166">
        <v>289800</v>
      </c>
      <c r="E132" s="166">
        <v>68664</v>
      </c>
      <c r="F132" s="166">
        <f>SUM(G132:K132)</f>
        <v>129699</v>
      </c>
      <c r="G132" s="121">
        <v>25</v>
      </c>
      <c r="H132" s="121">
        <f>41988+4000+3000</f>
        <v>48988</v>
      </c>
      <c r="I132" s="121">
        <f>74686+6000</f>
        <v>80686</v>
      </c>
      <c r="J132" s="121"/>
      <c r="K132" s="121"/>
      <c r="L132" s="121"/>
      <c r="M132" s="121"/>
      <c r="N132" s="121">
        <v>900</v>
      </c>
      <c r="O132" s="121"/>
      <c r="P132" s="121"/>
    </row>
    <row r="133" spans="1:16" ht="30" customHeight="1">
      <c r="A133" s="161" t="s">
        <v>746</v>
      </c>
      <c r="B133" s="164">
        <f t="shared" si="7"/>
        <v>59684</v>
      </c>
      <c r="C133" s="166">
        <f t="shared" si="9"/>
        <v>33324</v>
      </c>
      <c r="D133" s="166">
        <v>27200</v>
      </c>
      <c r="E133" s="166">
        <v>6124</v>
      </c>
      <c r="F133" s="166">
        <f t="shared" si="10" ref="F133:F155">SUM(G133:K133)</f>
        <v>26360</v>
      </c>
      <c r="G133" s="121"/>
      <c r="H133" s="121">
        <v>1710</v>
      </c>
      <c r="I133" s="121">
        <f>25050-400</f>
        <v>24650</v>
      </c>
      <c r="J133" s="121"/>
      <c r="K133" s="121"/>
      <c r="L133" s="121"/>
      <c r="M133" s="121"/>
      <c r="N133" s="121"/>
      <c r="O133" s="121"/>
      <c r="P133" s="121"/>
    </row>
    <row r="134" spans="1:16" ht="30" customHeight="1">
      <c r="A134" s="97" t="s">
        <v>747</v>
      </c>
      <c r="B134" s="96">
        <f t="shared" si="7"/>
        <v>136853</v>
      </c>
      <c r="C134" s="166">
        <f t="shared" si="9"/>
        <v>30359</v>
      </c>
      <c r="D134" s="166">
        <v>24564</v>
      </c>
      <c r="E134" s="166">
        <v>5795</v>
      </c>
      <c r="F134" s="166">
        <f t="shared" si="10"/>
        <v>106494</v>
      </c>
      <c r="G134" s="121"/>
      <c r="H134" s="121">
        <v>7650</v>
      </c>
      <c r="I134" s="121">
        <v>98844</v>
      </c>
      <c r="J134" s="121"/>
      <c r="K134" s="121"/>
      <c r="L134" s="121"/>
      <c r="M134" s="121"/>
      <c r="N134" s="121"/>
      <c r="O134" s="121"/>
      <c r="P134" s="121"/>
    </row>
    <row r="135" spans="1:16" ht="30" customHeight="1">
      <c r="A135" s="97" t="s">
        <v>751</v>
      </c>
      <c r="B135" s="96">
        <f t="shared" si="7"/>
        <v>47545</v>
      </c>
      <c r="C135" s="166">
        <f t="shared" si="9"/>
        <v>36635</v>
      </c>
      <c r="D135" s="166">
        <v>29642</v>
      </c>
      <c r="E135" s="166">
        <v>6993</v>
      </c>
      <c r="F135" s="166">
        <f t="shared" si="10"/>
        <v>10910</v>
      </c>
      <c r="G135" s="121"/>
      <c r="H135" s="121"/>
      <c r="I135" s="121">
        <f>10760-150</f>
        <v>10610</v>
      </c>
      <c r="J135" s="121"/>
      <c r="K135" s="121">
        <v>300</v>
      </c>
      <c r="L135" s="121"/>
      <c r="M135" s="121"/>
      <c r="N135" s="121"/>
      <c r="O135" s="121"/>
      <c r="P135" s="121"/>
    </row>
    <row r="136" spans="1:16" ht="30" customHeight="1">
      <c r="A136" s="97" t="s">
        <v>749</v>
      </c>
      <c r="B136" s="96">
        <f t="shared" si="7"/>
        <v>63299</v>
      </c>
      <c r="C136" s="166">
        <f t="shared" si="9"/>
        <v>34089</v>
      </c>
      <c r="D136" s="166">
        <v>27829</v>
      </c>
      <c r="E136" s="166">
        <v>6260</v>
      </c>
      <c r="F136" s="166">
        <f t="shared" si="10"/>
        <v>28350</v>
      </c>
      <c r="G136" s="121"/>
      <c r="H136" s="121">
        <f>4360-800+H137</f>
        <v>3110</v>
      </c>
      <c r="I136" s="121">
        <f>25020+I137</f>
        <v>24610</v>
      </c>
      <c r="J136" s="121"/>
      <c r="K136" s="121">
        <v>630</v>
      </c>
      <c r="L136" s="121"/>
      <c r="M136" s="121"/>
      <c r="N136" s="121">
        <f>N137</f>
        <v>860</v>
      </c>
      <c r="O136" s="121"/>
      <c r="P136" s="121"/>
    </row>
    <row r="137" spans="1:16" ht="30" customHeight="1">
      <c r="A137" s="191" t="s">
        <v>760</v>
      </c>
      <c r="B137" s="96">
        <f t="shared" si="7"/>
        <v>0</v>
      </c>
      <c r="C137" s="166">
        <f t="shared" si="9"/>
        <v>0</v>
      </c>
      <c r="D137" s="166"/>
      <c r="E137" s="166"/>
      <c r="F137" s="166">
        <f t="shared" si="10"/>
        <v>-860</v>
      </c>
      <c r="G137" s="121"/>
      <c r="H137" s="121">
        <v>-450</v>
      </c>
      <c r="I137" s="121">
        <v>-410</v>
      </c>
      <c r="J137" s="121"/>
      <c r="K137" s="121"/>
      <c r="L137" s="121"/>
      <c r="M137" s="121"/>
      <c r="N137" s="121">
        <v>860</v>
      </c>
      <c r="O137" s="121"/>
      <c r="P137" s="121"/>
    </row>
    <row r="138" spans="1:16" ht="30" customHeight="1">
      <c r="A138" s="97" t="s">
        <v>750</v>
      </c>
      <c r="B138" s="96">
        <f t="shared" si="7"/>
        <v>31761</v>
      </c>
      <c r="C138" s="166">
        <f t="shared" si="9"/>
        <v>24323</v>
      </c>
      <c r="D138" s="166">
        <v>19684</v>
      </c>
      <c r="E138" s="166">
        <v>4639</v>
      </c>
      <c r="F138" s="166">
        <f t="shared" si="10"/>
        <v>7438</v>
      </c>
      <c r="G138" s="121"/>
      <c r="H138" s="121">
        <v>1770</v>
      </c>
      <c r="I138" s="121">
        <v>5418</v>
      </c>
      <c r="J138" s="121"/>
      <c r="K138" s="121">
        <v>250</v>
      </c>
      <c r="L138" s="121"/>
      <c r="M138" s="121"/>
      <c r="N138" s="121"/>
      <c r="O138" s="121"/>
      <c r="P138" s="121"/>
    </row>
    <row r="139" spans="1:16" ht="38.25" customHeight="1">
      <c r="A139" s="97" t="s">
        <v>76</v>
      </c>
      <c r="B139" s="96">
        <f t="shared" si="7"/>
        <v>143931</v>
      </c>
      <c r="C139" s="166">
        <f t="shared" si="9"/>
        <v>73420</v>
      </c>
      <c r="D139" s="166">
        <v>59366</v>
      </c>
      <c r="E139" s="166">
        <v>14054</v>
      </c>
      <c r="F139" s="166">
        <f t="shared" si="10"/>
        <v>64511</v>
      </c>
      <c r="G139" s="121"/>
      <c r="H139" s="121">
        <v>4644</v>
      </c>
      <c r="I139" s="121">
        <f>50780+8200</f>
        <v>58980</v>
      </c>
      <c r="J139" s="121"/>
      <c r="K139" s="121">
        <v>887</v>
      </c>
      <c r="L139" s="121"/>
      <c r="M139" s="121"/>
      <c r="N139" s="121">
        <v>6000</v>
      </c>
      <c r="O139" s="121"/>
      <c r="P139" s="121"/>
    </row>
    <row r="140" spans="1:16" ht="35.25" customHeight="1">
      <c r="A140" s="97" t="s">
        <v>705</v>
      </c>
      <c r="B140" s="96">
        <f t="shared" si="7"/>
        <v>104867</v>
      </c>
      <c r="C140" s="166">
        <f t="shared" si="9"/>
        <v>36208</v>
      </c>
      <c r="D140" s="166">
        <v>29297</v>
      </c>
      <c r="E140" s="166">
        <v>6911</v>
      </c>
      <c r="F140" s="166">
        <f t="shared" si="10"/>
        <v>68659</v>
      </c>
      <c r="G140" s="121"/>
      <c r="H140" s="121">
        <v>8024</v>
      </c>
      <c r="I140" s="121">
        <v>60035</v>
      </c>
      <c r="J140" s="121"/>
      <c r="K140" s="121">
        <v>600</v>
      </c>
      <c r="L140" s="121"/>
      <c r="M140" s="121"/>
      <c r="N140" s="121"/>
      <c r="O140" s="121"/>
      <c r="P140" s="121"/>
    </row>
    <row r="141" spans="1:16" ht="24.75" customHeight="1">
      <c r="A141" s="97" t="s">
        <v>142</v>
      </c>
      <c r="B141" s="96">
        <f t="shared" si="7"/>
        <v>3100</v>
      </c>
      <c r="C141" s="166">
        <f t="shared" si="9"/>
        <v>0</v>
      </c>
      <c r="D141" s="166"/>
      <c r="E141" s="166"/>
      <c r="F141" s="166">
        <f t="shared" si="10"/>
        <v>3100</v>
      </c>
      <c r="G141" s="121"/>
      <c r="H141" s="121">
        <v>2460</v>
      </c>
      <c r="I141" s="121">
        <v>440</v>
      </c>
      <c r="J141" s="121"/>
      <c r="K141" s="121">
        <v>200</v>
      </c>
      <c r="L141" s="121"/>
      <c r="M141" s="121"/>
      <c r="N141" s="121"/>
      <c r="O141" s="121"/>
      <c r="P141" s="121"/>
    </row>
    <row r="142" spans="1:16" ht="24.75" customHeight="1">
      <c r="A142" s="97" t="s">
        <v>141</v>
      </c>
      <c r="B142" s="96">
        <f t="shared" si="7"/>
        <v>12131</v>
      </c>
      <c r="C142" s="166">
        <f t="shared" si="9"/>
        <v>0</v>
      </c>
      <c r="D142" s="166"/>
      <c r="E142" s="166"/>
      <c r="F142" s="166">
        <f t="shared" si="10"/>
        <v>12131</v>
      </c>
      <c r="G142" s="121"/>
      <c r="H142" s="121">
        <v>8817</v>
      </c>
      <c r="I142" s="121">
        <v>3314</v>
      </c>
      <c r="J142" s="121"/>
      <c r="K142" s="121"/>
      <c r="L142" s="121"/>
      <c r="M142" s="121"/>
      <c r="N142" s="121"/>
      <c r="O142" s="121"/>
      <c r="P142" s="121"/>
    </row>
    <row r="143" spans="1:16" ht="27.75" customHeight="1">
      <c r="A143" s="97" t="s">
        <v>665</v>
      </c>
      <c r="B143" s="96">
        <f t="shared" si="7"/>
        <v>6391</v>
      </c>
      <c r="C143" s="166">
        <f t="shared" si="9"/>
        <v>0</v>
      </c>
      <c r="D143" s="166"/>
      <c r="E143" s="166"/>
      <c r="F143" s="166">
        <f t="shared" si="10"/>
        <v>6391</v>
      </c>
      <c r="G143" s="121"/>
      <c r="H143" s="121">
        <f>5641</f>
        <v>5641</v>
      </c>
      <c r="I143" s="121">
        <v>350</v>
      </c>
      <c r="J143" s="121"/>
      <c r="K143" s="121">
        <v>400</v>
      </c>
      <c r="L143" s="121"/>
      <c r="M143" s="121"/>
      <c r="N143" s="121"/>
      <c r="O143" s="121"/>
      <c r="P143" s="121"/>
    </row>
    <row r="144" spans="1:16" ht="30" customHeight="1">
      <c r="A144" s="97" t="s">
        <v>666</v>
      </c>
      <c r="B144" s="96">
        <f t="shared" si="7"/>
        <v>12640</v>
      </c>
      <c r="C144" s="166">
        <f t="shared" si="9"/>
        <v>0</v>
      </c>
      <c r="D144" s="166"/>
      <c r="E144" s="166"/>
      <c r="F144" s="166">
        <f t="shared" si="10"/>
        <v>12640</v>
      </c>
      <c r="G144" s="121"/>
      <c r="H144" s="121">
        <f>7840+3500</f>
        <v>11340</v>
      </c>
      <c r="I144" s="121">
        <v>700</v>
      </c>
      <c r="J144" s="121"/>
      <c r="K144" s="121">
        <v>600</v>
      </c>
      <c r="L144" s="121"/>
      <c r="M144" s="121"/>
      <c r="N144" s="121"/>
      <c r="O144" s="121"/>
      <c r="P144" s="121"/>
    </row>
    <row r="145" spans="1:16" ht="30" customHeight="1">
      <c r="A145" s="97" t="s">
        <v>667</v>
      </c>
      <c r="B145" s="96">
        <f t="shared" si="7"/>
        <v>7210</v>
      </c>
      <c r="C145" s="166">
        <f t="shared" si="9"/>
        <v>0</v>
      </c>
      <c r="D145" s="166"/>
      <c r="E145" s="166"/>
      <c r="F145" s="166">
        <f t="shared" si="10"/>
        <v>7210</v>
      </c>
      <c r="G145" s="121"/>
      <c r="H145" s="121">
        <v>5830</v>
      </c>
      <c r="I145" s="121">
        <v>1160</v>
      </c>
      <c r="J145" s="121"/>
      <c r="K145" s="121">
        <v>220</v>
      </c>
      <c r="L145" s="121"/>
      <c r="M145" s="121"/>
      <c r="N145" s="121"/>
      <c r="O145" s="121"/>
      <c r="P145" s="121"/>
    </row>
    <row r="146" spans="1:16" ht="30" customHeight="1">
      <c r="A146" s="97" t="s">
        <v>668</v>
      </c>
      <c r="B146" s="96">
        <f t="shared" si="7"/>
        <v>4950</v>
      </c>
      <c r="C146" s="166">
        <f t="shared" si="9"/>
        <v>0</v>
      </c>
      <c r="D146" s="166"/>
      <c r="E146" s="166"/>
      <c r="F146" s="166">
        <f t="shared" si="10"/>
        <v>4900</v>
      </c>
      <c r="G146" s="121"/>
      <c r="H146" s="121">
        <f>3900+H147</f>
        <v>3850</v>
      </c>
      <c r="I146" s="121">
        <v>900</v>
      </c>
      <c r="J146" s="121"/>
      <c r="K146" s="121">
        <v>150</v>
      </c>
      <c r="L146" s="121"/>
      <c r="M146" s="121"/>
      <c r="N146" s="121">
        <f>N147</f>
        <v>50</v>
      </c>
      <c r="O146" s="121"/>
      <c r="P146" s="121"/>
    </row>
    <row r="147" spans="1:16" ht="30" customHeight="1">
      <c r="A147" s="191" t="s">
        <v>760</v>
      </c>
      <c r="B147" s="96">
        <f t="shared" si="7"/>
        <v>0</v>
      </c>
      <c r="C147" s="166">
        <f t="shared" si="9"/>
        <v>0</v>
      </c>
      <c r="D147" s="166"/>
      <c r="E147" s="166"/>
      <c r="F147" s="166">
        <f t="shared" si="10"/>
        <v>-50</v>
      </c>
      <c r="G147" s="121"/>
      <c r="H147" s="121">
        <v>-50</v>
      </c>
      <c r="I147" s="121"/>
      <c r="J147" s="121"/>
      <c r="K147" s="121"/>
      <c r="L147" s="121"/>
      <c r="M147" s="121"/>
      <c r="N147" s="121">
        <v>50</v>
      </c>
      <c r="O147" s="121"/>
      <c r="P147" s="121"/>
    </row>
    <row r="148" spans="1:16" ht="30" customHeight="1">
      <c r="A148" s="97" t="s">
        <v>669</v>
      </c>
      <c r="B148" s="96">
        <f t="shared" si="7"/>
        <v>16500</v>
      </c>
      <c r="C148" s="166">
        <f t="shared" si="9"/>
        <v>0</v>
      </c>
      <c r="D148" s="166"/>
      <c r="E148" s="166"/>
      <c r="F148" s="166">
        <f t="shared" si="10"/>
        <v>6500</v>
      </c>
      <c r="G148" s="121"/>
      <c r="H148" s="121">
        <v>4898</v>
      </c>
      <c r="I148" s="121">
        <v>1172</v>
      </c>
      <c r="J148" s="121"/>
      <c r="K148" s="121">
        <v>430</v>
      </c>
      <c r="L148" s="121"/>
      <c r="M148" s="121"/>
      <c r="N148" s="121">
        <v>10000</v>
      </c>
      <c r="O148" s="121"/>
      <c r="P148" s="121"/>
    </row>
    <row r="149" spans="1:16" ht="30" customHeight="1">
      <c r="A149" s="97" t="s">
        <v>670</v>
      </c>
      <c r="B149" s="96">
        <f t="shared" si="7"/>
        <v>7000</v>
      </c>
      <c r="C149" s="166">
        <f t="shared" si="9"/>
        <v>0</v>
      </c>
      <c r="D149" s="166"/>
      <c r="E149" s="166"/>
      <c r="F149" s="166">
        <f t="shared" si="10"/>
        <v>7000</v>
      </c>
      <c r="G149" s="121"/>
      <c r="H149" s="121">
        <v>4950</v>
      </c>
      <c r="I149" s="121">
        <v>1700</v>
      </c>
      <c r="J149" s="121"/>
      <c r="K149" s="121">
        <v>350</v>
      </c>
      <c r="L149" s="121"/>
      <c r="M149" s="121"/>
      <c r="N149" s="121"/>
      <c r="O149" s="121"/>
      <c r="P149" s="121"/>
    </row>
    <row r="150" spans="1:16" ht="23.25" customHeight="1">
      <c r="A150" s="157" t="s">
        <v>94</v>
      </c>
      <c r="B150" s="96">
        <f t="shared" si="7"/>
        <v>10350</v>
      </c>
      <c r="C150" s="166">
        <f t="shared" si="9"/>
        <v>0</v>
      </c>
      <c r="D150" s="173"/>
      <c r="E150" s="173"/>
      <c r="F150" s="166">
        <f>SUM(G150:K150)</f>
        <v>10350</v>
      </c>
      <c r="G150" s="121"/>
      <c r="H150" s="121">
        <v>6990</v>
      </c>
      <c r="I150" s="121">
        <v>2800</v>
      </c>
      <c r="J150" s="121"/>
      <c r="K150" s="121">
        <v>560</v>
      </c>
      <c r="L150" s="121"/>
      <c r="M150" s="121"/>
      <c r="N150" s="124"/>
      <c r="O150" s="121"/>
      <c r="P150" s="121"/>
    </row>
    <row r="151" spans="1:16" ht="30" customHeight="1">
      <c r="A151" s="97" t="s">
        <v>671</v>
      </c>
      <c r="B151" s="96">
        <f t="shared" si="7"/>
        <v>3460</v>
      </c>
      <c r="C151" s="166">
        <f t="shared" si="9"/>
        <v>0</v>
      </c>
      <c r="D151" s="172"/>
      <c r="E151" s="172"/>
      <c r="F151" s="166">
        <f t="shared" si="10"/>
        <v>3460</v>
      </c>
      <c r="G151" s="121"/>
      <c r="H151" s="121">
        <v>2830</v>
      </c>
      <c r="I151" s="121">
        <v>540</v>
      </c>
      <c r="J151" s="121"/>
      <c r="K151" s="121">
        <v>90</v>
      </c>
      <c r="L151" s="121"/>
      <c r="M151" s="121"/>
      <c r="N151" s="122"/>
      <c r="O151" s="121"/>
      <c r="P151" s="121"/>
    </row>
    <row r="152" spans="1:16" ht="30" customHeight="1">
      <c r="A152" s="97" t="s">
        <v>672</v>
      </c>
      <c r="B152" s="96">
        <f t="shared" si="7"/>
        <v>8636</v>
      </c>
      <c r="C152" s="166">
        <f t="shared" si="9"/>
        <v>0</v>
      </c>
      <c r="D152" s="166"/>
      <c r="E152" s="166"/>
      <c r="F152" s="166">
        <f t="shared" si="10"/>
        <v>7036</v>
      </c>
      <c r="G152" s="121"/>
      <c r="H152" s="121">
        <v>4953</v>
      </c>
      <c r="I152" s="121">
        <v>1860</v>
      </c>
      <c r="J152" s="121"/>
      <c r="K152" s="121">
        <v>223</v>
      </c>
      <c r="L152" s="121"/>
      <c r="M152" s="121"/>
      <c r="N152" s="121">
        <v>1600</v>
      </c>
      <c r="O152" s="121"/>
      <c r="P152" s="121"/>
    </row>
    <row r="153" spans="1:16" ht="30" customHeight="1">
      <c r="A153" s="97" t="s">
        <v>673</v>
      </c>
      <c r="B153" s="96">
        <f t="shared" si="7"/>
        <v>3800</v>
      </c>
      <c r="C153" s="166">
        <f t="shared" si="9"/>
        <v>0</v>
      </c>
      <c r="D153" s="166"/>
      <c r="E153" s="166"/>
      <c r="F153" s="166">
        <f t="shared" si="10"/>
        <v>3800</v>
      </c>
      <c r="G153" s="121"/>
      <c r="H153" s="121">
        <v>3111</v>
      </c>
      <c r="I153" s="121">
        <v>339</v>
      </c>
      <c r="J153" s="121"/>
      <c r="K153" s="121">
        <v>350</v>
      </c>
      <c r="L153" s="121"/>
      <c r="M153" s="121"/>
      <c r="N153" s="121"/>
      <c r="O153" s="121"/>
      <c r="P153" s="121"/>
    </row>
    <row r="154" spans="1:16" ht="26.25" customHeight="1">
      <c r="A154" s="157" t="s">
        <v>95</v>
      </c>
      <c r="B154" s="96">
        <f t="shared" si="7"/>
        <v>9900</v>
      </c>
      <c r="C154" s="166">
        <f t="shared" si="9"/>
        <v>0</v>
      </c>
      <c r="D154" s="172"/>
      <c r="E154" s="172"/>
      <c r="F154" s="166">
        <f t="shared" si="10"/>
        <v>9900</v>
      </c>
      <c r="G154" s="121"/>
      <c r="H154" s="121">
        <v>6350</v>
      </c>
      <c r="I154" s="121">
        <v>2950</v>
      </c>
      <c r="J154" s="121"/>
      <c r="K154" s="121">
        <v>600</v>
      </c>
      <c r="L154" s="121"/>
      <c r="M154" s="121"/>
      <c r="N154" s="123"/>
      <c r="O154" s="121"/>
      <c r="P154" s="121"/>
    </row>
    <row r="155" spans="1:16" ht="30" customHeight="1">
      <c r="A155" s="97" t="s">
        <v>674</v>
      </c>
      <c r="B155" s="96">
        <f t="shared" si="7"/>
        <v>3600</v>
      </c>
      <c r="C155" s="166">
        <f t="shared" si="9"/>
        <v>0</v>
      </c>
      <c r="D155" s="166"/>
      <c r="E155" s="166"/>
      <c r="F155" s="166">
        <f t="shared" si="10"/>
        <v>3600</v>
      </c>
      <c r="G155" s="121"/>
      <c r="H155" s="121">
        <v>2600</v>
      </c>
      <c r="I155" s="121">
        <v>713</v>
      </c>
      <c r="J155" s="121"/>
      <c r="K155" s="121">
        <v>287</v>
      </c>
      <c r="L155" s="121"/>
      <c r="M155" s="121"/>
      <c r="N155" s="121"/>
      <c r="O155" s="121"/>
      <c r="P155" s="121"/>
    </row>
    <row r="156" spans="1:16" ht="21" customHeight="1">
      <c r="A156" s="97" t="s">
        <v>675</v>
      </c>
      <c r="B156" s="96">
        <f t="shared" si="7"/>
        <v>9660</v>
      </c>
      <c r="C156" s="166">
        <f t="shared" si="9"/>
        <v>0</v>
      </c>
      <c r="D156" s="166"/>
      <c r="E156" s="166"/>
      <c r="F156" s="166">
        <f t="shared" si="11" ref="F156:F175">SUM(G156:K156)</f>
        <v>9660</v>
      </c>
      <c r="G156" s="121"/>
      <c r="H156" s="121">
        <v>7811</v>
      </c>
      <c r="I156" s="121">
        <v>984</v>
      </c>
      <c r="J156" s="121"/>
      <c r="K156" s="121">
        <v>865</v>
      </c>
      <c r="L156" s="121"/>
      <c r="M156" s="121"/>
      <c r="N156" s="121"/>
      <c r="O156" s="121"/>
      <c r="P156" s="121"/>
    </row>
    <row r="157" spans="1:16" ht="30" customHeight="1">
      <c r="A157" s="97" t="s">
        <v>676</v>
      </c>
      <c r="B157" s="96">
        <f t="shared" si="7"/>
        <v>3605</v>
      </c>
      <c r="C157" s="166">
        <f t="shared" si="9"/>
        <v>0</v>
      </c>
      <c r="D157" s="166"/>
      <c r="E157" s="166"/>
      <c r="F157" s="166">
        <f t="shared" si="11"/>
        <v>3605</v>
      </c>
      <c r="G157" s="121"/>
      <c r="H157" s="121">
        <v>1840</v>
      </c>
      <c r="I157" s="121">
        <v>1560</v>
      </c>
      <c r="J157" s="121"/>
      <c r="K157" s="121">
        <v>205</v>
      </c>
      <c r="L157" s="121"/>
      <c r="M157" s="121"/>
      <c r="N157" s="121"/>
      <c r="O157" s="121"/>
      <c r="P157" s="121"/>
    </row>
    <row r="158" spans="1:16" ht="30" customHeight="1">
      <c r="A158" s="97" t="s">
        <v>677</v>
      </c>
      <c r="B158" s="96">
        <f t="shared" si="7"/>
        <v>4950</v>
      </c>
      <c r="C158" s="166">
        <f t="shared" si="9"/>
        <v>0</v>
      </c>
      <c r="D158" s="166"/>
      <c r="E158" s="166"/>
      <c r="F158" s="166">
        <f t="shared" si="11"/>
        <v>4950</v>
      </c>
      <c r="G158" s="121"/>
      <c r="H158" s="121">
        <v>4300</v>
      </c>
      <c r="I158" s="121">
        <v>650</v>
      </c>
      <c r="J158" s="121"/>
      <c r="K158" s="121"/>
      <c r="L158" s="121"/>
      <c r="M158" s="121"/>
      <c r="N158" s="121"/>
      <c r="O158" s="121"/>
      <c r="P158" s="121"/>
    </row>
    <row r="159" spans="1:16" ht="30" customHeight="1">
      <c r="A159" s="97" t="s">
        <v>678</v>
      </c>
      <c r="B159" s="96">
        <f t="shared" si="7"/>
        <v>3642</v>
      </c>
      <c r="C159" s="166">
        <f t="shared" si="9"/>
        <v>0</v>
      </c>
      <c r="D159" s="166"/>
      <c r="E159" s="166"/>
      <c r="F159" s="166">
        <f t="shared" si="11"/>
        <v>3642</v>
      </c>
      <c r="G159" s="121"/>
      <c r="H159" s="121">
        <v>3250</v>
      </c>
      <c r="I159" s="121">
        <v>292</v>
      </c>
      <c r="J159" s="121"/>
      <c r="K159" s="121">
        <v>100</v>
      </c>
      <c r="L159" s="121"/>
      <c r="M159" s="121"/>
      <c r="N159" s="121"/>
      <c r="O159" s="121"/>
      <c r="P159" s="121"/>
    </row>
    <row r="160" spans="1:16" ht="30" customHeight="1">
      <c r="A160" s="118" t="s">
        <v>679</v>
      </c>
      <c r="B160" s="96">
        <f t="shared" si="7"/>
        <v>30795</v>
      </c>
      <c r="C160" s="166">
        <f t="shared" si="9"/>
        <v>22926</v>
      </c>
      <c r="D160" s="166">
        <v>18550</v>
      </c>
      <c r="E160" s="166">
        <v>4376</v>
      </c>
      <c r="F160" s="166">
        <f>SUM(G160:K160)</f>
        <v>7869</v>
      </c>
      <c r="G160" s="121"/>
      <c r="H160" s="121">
        <v>3299</v>
      </c>
      <c r="I160" s="121">
        <v>2970</v>
      </c>
      <c r="J160" s="121"/>
      <c r="K160" s="121">
        <v>1600</v>
      </c>
      <c r="L160" s="121"/>
      <c r="M160" s="121"/>
      <c r="N160" s="121"/>
      <c r="O160" s="121"/>
      <c r="P160" s="121"/>
    </row>
    <row r="161" spans="1:16" ht="30" customHeight="1">
      <c r="A161" s="97" t="s">
        <v>680</v>
      </c>
      <c r="B161" s="96">
        <f t="shared" si="7"/>
        <v>3200</v>
      </c>
      <c r="C161" s="166">
        <f t="shared" si="9"/>
        <v>0</v>
      </c>
      <c r="D161" s="166"/>
      <c r="E161" s="166"/>
      <c r="F161" s="166">
        <f t="shared" si="11"/>
        <v>3200</v>
      </c>
      <c r="G161" s="121"/>
      <c r="H161" s="121">
        <v>2260</v>
      </c>
      <c r="I161" s="121">
        <v>640</v>
      </c>
      <c r="J161" s="121"/>
      <c r="K161" s="121">
        <v>300</v>
      </c>
      <c r="L161" s="121"/>
      <c r="M161" s="121"/>
      <c r="N161" s="121"/>
      <c r="O161" s="121"/>
      <c r="P161" s="121"/>
    </row>
    <row r="162" spans="1:16" ht="30" customHeight="1">
      <c r="A162" s="97" t="s">
        <v>681</v>
      </c>
      <c r="B162" s="96">
        <f t="shared" si="7"/>
        <v>13405</v>
      </c>
      <c r="C162" s="166">
        <f t="shared" si="9"/>
        <v>10975</v>
      </c>
      <c r="D162" s="166">
        <v>8880</v>
      </c>
      <c r="E162" s="166">
        <v>2095</v>
      </c>
      <c r="F162" s="166">
        <f t="shared" si="11"/>
        <v>2430</v>
      </c>
      <c r="G162" s="121"/>
      <c r="H162" s="121">
        <v>1059</v>
      </c>
      <c r="I162" s="121">
        <v>920</v>
      </c>
      <c r="J162" s="121"/>
      <c r="K162" s="121">
        <v>451</v>
      </c>
      <c r="L162" s="121"/>
      <c r="M162" s="121"/>
      <c r="N162" s="121"/>
      <c r="O162" s="121"/>
      <c r="P162" s="121"/>
    </row>
    <row r="163" spans="1:16" ht="15" customHeight="1">
      <c r="A163" s="97" t="s">
        <v>211</v>
      </c>
      <c r="B163" s="96">
        <f t="shared" si="7"/>
        <v>15243</v>
      </c>
      <c r="C163" s="166">
        <f t="shared" si="9"/>
        <v>11519</v>
      </c>
      <c r="D163" s="166">
        <f>8328+888</f>
        <v>9216</v>
      </c>
      <c r="E163" s="166">
        <f>1965+338</f>
        <v>2303</v>
      </c>
      <c r="F163" s="174">
        <f>SUM(G163:P163)</f>
        <v>3724</v>
      </c>
      <c r="G163" s="121"/>
      <c r="H163" s="121">
        <v>877</v>
      </c>
      <c r="I163" s="121">
        <f>1726+1121</f>
        <v>2847</v>
      </c>
      <c r="J163" s="121"/>
      <c r="K163" s="121"/>
      <c r="L163" s="121"/>
      <c r="M163" s="121"/>
      <c r="N163" s="121"/>
      <c r="O163" s="121"/>
      <c r="P163" s="121"/>
    </row>
    <row r="164" spans="1:16" ht="15" customHeight="1">
      <c r="A164" s="97" t="s">
        <v>745</v>
      </c>
      <c r="B164" s="96">
        <f t="shared" si="7"/>
        <v>15143</v>
      </c>
      <c r="C164" s="166">
        <f t="shared" si="9"/>
        <v>10293</v>
      </c>
      <c r="D164" s="166">
        <v>8328</v>
      </c>
      <c r="E164" s="166">
        <v>1965</v>
      </c>
      <c r="F164" s="166">
        <f>SUM(G164:K164)</f>
        <v>4850</v>
      </c>
      <c r="G164" s="121"/>
      <c r="H164" s="121">
        <f>1479+50</f>
        <v>1529</v>
      </c>
      <c r="I164" s="121">
        <f>1124+2197</f>
        <v>3321</v>
      </c>
      <c r="J164" s="121"/>
      <c r="K164" s="121"/>
      <c r="L164" s="121"/>
      <c r="M164" s="121"/>
      <c r="N164" s="121"/>
      <c r="O164" s="121"/>
      <c r="P164" s="121"/>
    </row>
    <row r="165" spans="1:16" ht="15" customHeight="1">
      <c r="A165" s="97" t="s">
        <v>213</v>
      </c>
      <c r="B165" s="96">
        <f t="shared" si="7"/>
        <v>15143</v>
      </c>
      <c r="C165" s="166">
        <f t="shared" si="9"/>
        <v>11308</v>
      </c>
      <c r="D165" s="166">
        <v>9363</v>
      </c>
      <c r="E165" s="166">
        <v>1945</v>
      </c>
      <c r="F165" s="166">
        <f t="shared" si="11"/>
        <v>3835</v>
      </c>
      <c r="G165" s="121"/>
      <c r="H165" s="121">
        <v>1217</v>
      </c>
      <c r="I165" s="121">
        <f>850+1768</f>
        <v>2618</v>
      </c>
      <c r="J165" s="121"/>
      <c r="K165" s="121"/>
      <c r="L165" s="121"/>
      <c r="M165" s="121"/>
      <c r="N165" s="121">
        <v>0</v>
      </c>
      <c r="O165" s="121"/>
      <c r="P165" s="121"/>
    </row>
    <row r="166" spans="1:16" ht="15" customHeight="1">
      <c r="A166" s="97" t="s">
        <v>744</v>
      </c>
      <c r="B166" s="96">
        <f t="shared" si="7"/>
        <v>15143</v>
      </c>
      <c r="C166" s="166">
        <f t="shared" si="9"/>
        <v>10293</v>
      </c>
      <c r="D166" s="166">
        <v>8328</v>
      </c>
      <c r="E166" s="166">
        <v>1965</v>
      </c>
      <c r="F166" s="166">
        <f t="shared" si="11"/>
        <v>4850</v>
      </c>
      <c r="G166" s="121"/>
      <c r="H166" s="121">
        <f>1277+550</f>
        <v>1827</v>
      </c>
      <c r="I166" s="121">
        <f>826+2197</f>
        <v>3023</v>
      </c>
      <c r="J166" s="121"/>
      <c r="K166" s="121"/>
      <c r="L166" s="121"/>
      <c r="M166" s="121"/>
      <c r="N166" s="121">
        <v>0</v>
      </c>
      <c r="O166" s="121"/>
      <c r="P166" s="121"/>
    </row>
    <row r="167" spans="1:16" ht="15" customHeight="1">
      <c r="A167" s="97" t="s">
        <v>214</v>
      </c>
      <c r="B167" s="96">
        <f t="shared" si="7"/>
        <v>15143</v>
      </c>
      <c r="C167" s="166">
        <f t="shared" si="9"/>
        <v>10421</v>
      </c>
      <c r="D167" s="166">
        <v>8328</v>
      </c>
      <c r="E167" s="166">
        <v>2093</v>
      </c>
      <c r="F167" s="166">
        <f t="shared" si="11"/>
        <v>4722</v>
      </c>
      <c r="G167" s="121"/>
      <c r="H167" s="121">
        <v>1197</v>
      </c>
      <c r="I167" s="121">
        <f>1406+2119</f>
        <v>3525</v>
      </c>
      <c r="J167" s="121"/>
      <c r="K167" s="121"/>
      <c r="L167" s="121"/>
      <c r="M167" s="123"/>
      <c r="N167" s="121"/>
      <c r="O167" s="121"/>
      <c r="P167" s="121"/>
    </row>
    <row r="168" spans="1:16" ht="15" customHeight="1">
      <c r="A168" s="157" t="s">
        <v>215</v>
      </c>
      <c r="B168" s="96">
        <f t="shared" si="12" ref="B168:B251">SUM(C168+F168,L168:P168)</f>
        <v>15143</v>
      </c>
      <c r="C168" s="166">
        <f t="shared" si="9"/>
        <v>10226</v>
      </c>
      <c r="D168" s="172">
        <v>8328</v>
      </c>
      <c r="E168" s="172">
        <v>1898</v>
      </c>
      <c r="F168" s="166">
        <f t="shared" si="11"/>
        <v>4917</v>
      </c>
      <c r="G168" s="123"/>
      <c r="H168" s="123">
        <v>1417</v>
      </c>
      <c r="I168" s="123">
        <f>1381+2119</f>
        <v>3500</v>
      </c>
      <c r="J168" s="123"/>
      <c r="K168" s="123"/>
      <c r="L168" s="123"/>
      <c r="M168" s="121"/>
      <c r="N168" s="123"/>
      <c r="O168" s="123"/>
      <c r="P168" s="123"/>
    </row>
    <row r="169" spans="1:16" ht="15" customHeight="1">
      <c r="A169" s="97" t="s">
        <v>743</v>
      </c>
      <c r="B169" s="96">
        <f t="shared" si="12"/>
        <v>15768</v>
      </c>
      <c r="C169" s="166">
        <f t="shared" si="9"/>
        <v>13165</v>
      </c>
      <c r="D169" s="166">
        <v>10548</v>
      </c>
      <c r="E169" s="166">
        <v>2617</v>
      </c>
      <c r="F169" s="166">
        <f t="shared" si="11"/>
        <v>2603</v>
      </c>
      <c r="G169" s="121"/>
      <c r="H169" s="121">
        <v>817</v>
      </c>
      <c r="I169" s="121">
        <v>1786</v>
      </c>
      <c r="J169" s="121"/>
      <c r="K169" s="121"/>
      <c r="L169" s="121"/>
      <c r="M169" s="121"/>
      <c r="N169" s="121"/>
      <c r="O169" s="121"/>
      <c r="P169" s="121"/>
    </row>
    <row r="170" spans="1:16" ht="15" customHeight="1">
      <c r="A170" s="97" t="s">
        <v>216</v>
      </c>
      <c r="B170" s="96">
        <f t="shared" si="12"/>
        <v>15922</v>
      </c>
      <c r="C170" s="166">
        <f t="shared" si="9"/>
        <v>13319</v>
      </c>
      <c r="D170" s="166">
        <v>10643</v>
      </c>
      <c r="E170" s="166">
        <v>2676</v>
      </c>
      <c r="F170" s="166">
        <f t="shared" si="11"/>
        <v>2603</v>
      </c>
      <c r="G170" s="121"/>
      <c r="H170" s="121">
        <v>660</v>
      </c>
      <c r="I170" s="121">
        <v>1943</v>
      </c>
      <c r="J170" s="121"/>
      <c r="K170" s="121"/>
      <c r="L170" s="121"/>
      <c r="M170" s="121"/>
      <c r="N170" s="121"/>
      <c r="O170" s="121"/>
      <c r="P170" s="121"/>
    </row>
    <row r="171" spans="1:16" ht="15" customHeight="1">
      <c r="A171" s="97" t="s">
        <v>217</v>
      </c>
      <c r="B171" s="96">
        <f t="shared" si="12"/>
        <v>15143</v>
      </c>
      <c r="C171" s="166">
        <f t="shared" si="9"/>
        <v>10421</v>
      </c>
      <c r="D171" s="166">
        <v>8328</v>
      </c>
      <c r="E171" s="166">
        <v>2093</v>
      </c>
      <c r="F171" s="166">
        <f t="shared" si="11"/>
        <v>4722</v>
      </c>
      <c r="G171" s="121"/>
      <c r="H171" s="121">
        <v>1487</v>
      </c>
      <c r="I171" s="121">
        <f>1116+2119</f>
        <v>3235</v>
      </c>
      <c r="J171" s="121"/>
      <c r="K171" s="121"/>
      <c r="L171" s="121"/>
      <c r="M171" s="123"/>
      <c r="N171" s="121"/>
      <c r="O171" s="121"/>
      <c r="P171" s="121"/>
    </row>
    <row r="172" spans="1:16" ht="30" customHeight="1">
      <c r="A172" s="157" t="s">
        <v>126</v>
      </c>
      <c r="B172" s="96">
        <f t="shared" si="12"/>
        <v>21967</v>
      </c>
      <c r="C172" s="166">
        <f t="shared" si="9"/>
        <v>15365</v>
      </c>
      <c r="D172" s="175">
        <v>12432</v>
      </c>
      <c r="E172" s="172">
        <v>2933</v>
      </c>
      <c r="F172" s="166">
        <f t="shared" si="11"/>
        <v>6602</v>
      </c>
      <c r="G172" s="123"/>
      <c r="H172" s="123">
        <v>1350</v>
      </c>
      <c r="I172" s="123">
        <v>5252</v>
      </c>
      <c r="J172" s="123"/>
      <c r="K172" s="123"/>
      <c r="L172" s="123"/>
      <c r="M172" s="121"/>
      <c r="N172" s="123"/>
      <c r="O172" s="123"/>
      <c r="P172" s="123"/>
    </row>
    <row r="173" spans="1:16" ht="26.45" customHeight="1">
      <c r="A173" s="161" t="s">
        <v>114</v>
      </c>
      <c r="B173" s="96">
        <f t="shared" si="12"/>
        <v>85226</v>
      </c>
      <c r="C173" s="166">
        <f t="shared" si="9"/>
        <v>77367</v>
      </c>
      <c r="D173" s="166">
        <v>62600</v>
      </c>
      <c r="E173" s="166">
        <v>14767</v>
      </c>
      <c r="F173" s="166">
        <f t="shared" si="11"/>
        <v>7859</v>
      </c>
      <c r="G173" s="121">
        <v>200</v>
      </c>
      <c r="H173" s="121">
        <v>700</v>
      </c>
      <c r="I173" s="121">
        <v>6959</v>
      </c>
      <c r="J173" s="121"/>
      <c r="K173" s="121"/>
      <c r="L173" s="121"/>
      <c r="M173" s="121"/>
      <c r="N173" s="121"/>
      <c r="O173" s="121"/>
      <c r="P173" s="121"/>
    </row>
    <row r="174" spans="1:16" s="86" customFormat="1" ht="30" customHeight="1">
      <c r="A174" s="161" t="s">
        <v>144</v>
      </c>
      <c r="B174" s="96">
        <f t="shared" si="12"/>
        <v>32664</v>
      </c>
      <c r="C174" s="166">
        <f t="shared" si="9"/>
        <v>1700</v>
      </c>
      <c r="D174" s="166">
        <v>1700</v>
      </c>
      <c r="E174" s="166"/>
      <c r="F174" s="166">
        <f t="shared" si="11"/>
        <v>30964</v>
      </c>
      <c r="G174" s="121">
        <v>860</v>
      </c>
      <c r="H174" s="121">
        <v>13140</v>
      </c>
      <c r="I174" s="121">
        <v>16964</v>
      </c>
      <c r="J174" s="121"/>
      <c r="K174" s="121"/>
      <c r="L174" s="121"/>
      <c r="M174" s="121"/>
      <c r="N174" s="121"/>
      <c r="O174" s="121"/>
      <c r="P174" s="121"/>
    </row>
    <row r="175" spans="1:16" s="86" customFormat="1" ht="27.75" customHeight="1">
      <c r="A175" s="161" t="s">
        <v>726</v>
      </c>
      <c r="B175" s="96">
        <f t="shared" si="12"/>
        <v>13009</v>
      </c>
      <c r="C175" s="166">
        <f t="shared" si="9"/>
        <v>600</v>
      </c>
      <c r="D175" s="166">
        <v>480</v>
      </c>
      <c r="E175" s="166">
        <v>120</v>
      </c>
      <c r="F175" s="166">
        <f t="shared" si="11"/>
        <v>12409</v>
      </c>
      <c r="G175" s="121">
        <v>3859</v>
      </c>
      <c r="H175" s="121">
        <v>1069</v>
      </c>
      <c r="I175" s="121">
        <v>7481</v>
      </c>
      <c r="J175" s="121"/>
      <c r="K175" s="121"/>
      <c r="L175" s="121"/>
      <c r="M175" s="121"/>
      <c r="N175" s="121"/>
      <c r="O175" s="121"/>
      <c r="P175" s="121"/>
    </row>
    <row r="176" spans="1:16" ht="27.75" customHeight="1">
      <c r="A176" s="161" t="s">
        <v>165</v>
      </c>
      <c r="B176" s="96">
        <f t="shared" si="12"/>
        <v>26195</v>
      </c>
      <c r="C176" s="174">
        <f t="shared" si="9"/>
        <v>17560</v>
      </c>
      <c r="D176" s="166">
        <v>14208</v>
      </c>
      <c r="E176" s="166">
        <v>3352</v>
      </c>
      <c r="F176" s="166">
        <f>SUM(G176:K176)</f>
        <v>8635</v>
      </c>
      <c r="G176" s="121"/>
      <c r="H176" s="121">
        <v>1780</v>
      </c>
      <c r="I176" s="121">
        <v>6855</v>
      </c>
      <c r="J176" s="121"/>
      <c r="K176" s="121"/>
      <c r="L176" s="121"/>
      <c r="M176" s="121"/>
      <c r="N176" s="121">
        <v>0</v>
      </c>
      <c r="O176" s="121"/>
      <c r="P176" s="121"/>
    </row>
    <row r="177" spans="1:16" ht="27.75" customHeight="1">
      <c r="A177" s="97" t="s">
        <v>717</v>
      </c>
      <c r="B177" s="96">
        <f t="shared" si="12"/>
        <v>60000</v>
      </c>
      <c r="C177" s="174">
        <f t="shared" si="9"/>
        <v>0</v>
      </c>
      <c r="D177" s="166"/>
      <c r="E177" s="166"/>
      <c r="F177" s="166">
        <f>SUM(G177:K177)</f>
        <v>60000</v>
      </c>
      <c r="G177" s="121"/>
      <c r="H177" s="121">
        <v>60000</v>
      </c>
      <c r="I177" s="121"/>
      <c r="J177" s="121"/>
      <c r="K177" s="121"/>
      <c r="L177" s="121"/>
      <c r="M177" s="121"/>
      <c r="N177" s="121"/>
      <c r="O177" s="121"/>
      <c r="P177" s="121"/>
    </row>
    <row r="178" spans="1:16" ht="27.75" customHeight="1">
      <c r="A178" s="161" t="s">
        <v>21</v>
      </c>
      <c r="B178" s="96">
        <f t="shared" si="12"/>
        <v>567484</v>
      </c>
      <c r="C178" s="166">
        <f t="shared" si="9"/>
        <v>499542</v>
      </c>
      <c r="D178" s="166">
        <v>402591</v>
      </c>
      <c r="E178" s="166">
        <v>96951</v>
      </c>
      <c r="F178" s="166">
        <f t="shared" si="13" ref="F178:F207">SUM(G178:K178)</f>
        <v>43542</v>
      </c>
      <c r="G178" s="121">
        <v>180</v>
      </c>
      <c r="H178" s="121">
        <v>23842</v>
      </c>
      <c r="I178" s="121">
        <f>5120+1000</f>
        <v>6120</v>
      </c>
      <c r="J178" s="121">
        <v>13400</v>
      </c>
      <c r="K178" s="121"/>
      <c r="L178" s="121"/>
      <c r="M178" s="121"/>
      <c r="N178" s="121">
        <v>24400</v>
      </c>
      <c r="O178" s="121"/>
      <c r="P178" s="121"/>
    </row>
    <row r="179" spans="1:16" ht="27.75" customHeight="1">
      <c r="A179" s="97" t="s">
        <v>629</v>
      </c>
      <c r="B179" s="96">
        <f t="shared" si="12"/>
        <v>51850</v>
      </c>
      <c r="C179" s="166">
        <f t="shared" si="9"/>
        <v>200</v>
      </c>
      <c r="D179" s="166"/>
      <c r="E179" s="166">
        <v>200</v>
      </c>
      <c r="F179" s="166">
        <f t="shared" si="13"/>
        <v>51650</v>
      </c>
      <c r="G179" s="121"/>
      <c r="H179" s="121">
        <v>50150</v>
      </c>
      <c r="I179" s="121">
        <v>1500</v>
      </c>
      <c r="J179" s="121"/>
      <c r="K179" s="121"/>
      <c r="L179" s="121"/>
      <c r="M179" s="125"/>
      <c r="N179" s="121"/>
      <c r="O179" s="121"/>
      <c r="P179" s="121"/>
    </row>
    <row r="180" spans="1:16" ht="18" customHeight="1">
      <c r="A180" s="97" t="s">
        <v>65</v>
      </c>
      <c r="B180" s="96">
        <f t="shared" si="12"/>
        <v>146603</v>
      </c>
      <c r="C180" s="166">
        <f t="shared" si="9"/>
        <v>115918</v>
      </c>
      <c r="D180" s="166">
        <v>93792</v>
      </c>
      <c r="E180" s="166">
        <v>22126</v>
      </c>
      <c r="F180" s="166">
        <f t="shared" si="13"/>
        <v>30685</v>
      </c>
      <c r="G180" s="121">
        <v>275</v>
      </c>
      <c r="H180" s="121">
        <v>27939</v>
      </c>
      <c r="I180" s="121">
        <v>2471</v>
      </c>
      <c r="J180" s="121"/>
      <c r="K180" s="121"/>
      <c r="L180" s="121"/>
      <c r="M180" s="125"/>
      <c r="N180" s="121"/>
      <c r="O180" s="121"/>
      <c r="P180" s="121"/>
    </row>
    <row r="181" spans="1:16" ht="24" customHeight="1">
      <c r="A181" s="97" t="s">
        <v>97</v>
      </c>
      <c r="B181" s="96">
        <f t="shared" si="12"/>
        <v>55168</v>
      </c>
      <c r="C181" s="166">
        <f t="shared" si="9"/>
        <v>40635</v>
      </c>
      <c r="D181" s="166">
        <v>33507</v>
      </c>
      <c r="E181" s="166">
        <v>7128</v>
      </c>
      <c r="F181" s="166">
        <f>SUM(G181:K181)</f>
        <v>10033</v>
      </c>
      <c r="G181" s="121">
        <v>104</v>
      </c>
      <c r="H181" s="121">
        <v>4397</v>
      </c>
      <c r="I181" s="121">
        <v>5532</v>
      </c>
      <c r="J181" s="121"/>
      <c r="K181" s="121"/>
      <c r="L181" s="121"/>
      <c r="M181" s="122"/>
      <c r="N181" s="121">
        <f>N182</f>
        <v>4500</v>
      </c>
      <c r="O181" s="121"/>
      <c r="P181" s="121"/>
    </row>
    <row r="182" spans="1:16" ht="24" customHeight="1">
      <c r="A182" s="234" t="s">
        <v>760</v>
      </c>
      <c r="B182" s="96">
        <f t="shared" si="12"/>
        <v>4500</v>
      </c>
      <c r="C182" s="166">
        <f t="shared" si="9"/>
        <v>0</v>
      </c>
      <c r="D182" s="176"/>
      <c r="E182" s="176"/>
      <c r="F182" s="166">
        <f>SUM(G182:K182)</f>
        <v>0</v>
      </c>
      <c r="G182" s="126"/>
      <c r="H182" s="126"/>
      <c r="I182" s="126"/>
      <c r="J182" s="126"/>
      <c r="K182" s="126"/>
      <c r="L182" s="126"/>
      <c r="M182" s="215"/>
      <c r="N182" s="126">
        <v>4500</v>
      </c>
      <c r="O182" s="126"/>
      <c r="P182" s="126"/>
    </row>
    <row r="183" spans="1:16" ht="20.25" customHeight="1">
      <c r="A183" s="158" t="s">
        <v>83</v>
      </c>
      <c r="B183" s="96">
        <f t="shared" si="12"/>
        <v>45341</v>
      </c>
      <c r="C183" s="176">
        <f t="shared" si="14" ref="C183:C256">D183+E183</f>
        <v>31467</v>
      </c>
      <c r="D183" s="176">
        <v>25461</v>
      </c>
      <c r="E183" s="176">
        <v>6006</v>
      </c>
      <c r="F183" s="176">
        <f t="shared" si="13"/>
        <v>13874</v>
      </c>
      <c r="G183" s="126">
        <v>61</v>
      </c>
      <c r="H183" s="126">
        <v>2882</v>
      </c>
      <c r="I183" s="126">
        <v>10931</v>
      </c>
      <c r="J183" s="126"/>
      <c r="K183" s="126"/>
      <c r="L183" s="126"/>
      <c r="M183" s="126"/>
      <c r="N183" s="126"/>
      <c r="O183" s="126"/>
      <c r="P183" s="126"/>
    </row>
    <row r="184" spans="1:16" ht="26.25" customHeight="1">
      <c r="A184" s="97" t="s">
        <v>63</v>
      </c>
      <c r="B184" s="96">
        <f t="shared" si="12"/>
        <v>302941</v>
      </c>
      <c r="C184" s="166">
        <f t="shared" si="14"/>
        <v>241616</v>
      </c>
      <c r="D184" s="166">
        <f>182261+13067</f>
        <v>195328</v>
      </c>
      <c r="E184" s="166">
        <f>43205+3083</f>
        <v>46288</v>
      </c>
      <c r="F184" s="166">
        <f t="shared" si="13"/>
        <v>61325</v>
      </c>
      <c r="G184" s="121">
        <v>306</v>
      </c>
      <c r="H184" s="121">
        <f>34186+H185</f>
        <v>34636</v>
      </c>
      <c r="I184" s="121">
        <f>15606+1440+8857+480</f>
        <v>26383</v>
      </c>
      <c r="J184" s="121"/>
      <c r="K184" s="121"/>
      <c r="L184" s="121"/>
      <c r="M184" s="121"/>
      <c r="N184" s="121">
        <v>0</v>
      </c>
      <c r="O184" s="121"/>
      <c r="P184" s="121"/>
    </row>
    <row r="185" spans="1:16" ht="26.25" customHeight="1">
      <c r="A185" s="191" t="s">
        <v>760</v>
      </c>
      <c r="B185" s="96">
        <f t="shared" si="12"/>
        <v>450</v>
      </c>
      <c r="C185" s="166">
        <f t="shared" si="14"/>
        <v>0</v>
      </c>
      <c r="D185" s="166"/>
      <c r="E185" s="166"/>
      <c r="F185" s="166">
        <f t="shared" si="13"/>
        <v>450</v>
      </c>
      <c r="G185" s="121"/>
      <c r="H185" s="121">
        <v>450</v>
      </c>
      <c r="I185" s="121"/>
      <c r="J185" s="121"/>
      <c r="K185" s="121"/>
      <c r="L185" s="121"/>
      <c r="M185" s="121"/>
      <c r="N185" s="121"/>
      <c r="O185" s="121"/>
      <c r="P185" s="121"/>
    </row>
    <row r="186" spans="1:16" ht="17.25" customHeight="1">
      <c r="A186" s="97" t="s">
        <v>22</v>
      </c>
      <c r="B186" s="96">
        <f t="shared" si="12"/>
        <v>77206</v>
      </c>
      <c r="C186" s="166">
        <f t="shared" si="14"/>
        <v>4112</v>
      </c>
      <c r="D186" s="166">
        <v>4112</v>
      </c>
      <c r="E186" s="166"/>
      <c r="F186" s="166">
        <f>SUM(G186:K186)</f>
        <v>73094</v>
      </c>
      <c r="G186" s="121"/>
      <c r="H186" s="121">
        <v>67451</v>
      </c>
      <c r="I186" s="121">
        <v>5643</v>
      </c>
      <c r="J186" s="121"/>
      <c r="K186" s="121"/>
      <c r="L186" s="121"/>
      <c r="M186" s="121"/>
      <c r="N186" s="121"/>
      <c r="O186" s="121"/>
      <c r="P186" s="121"/>
    </row>
    <row r="187" spans="1:16" ht="15" customHeight="1">
      <c r="A187" s="97" t="s">
        <v>98</v>
      </c>
      <c r="B187" s="96">
        <f t="shared" si="12"/>
        <v>9809</v>
      </c>
      <c r="C187" s="166">
        <f t="shared" si="14"/>
        <v>2257</v>
      </c>
      <c r="D187" s="166">
        <v>2200</v>
      </c>
      <c r="E187" s="166">
        <v>57</v>
      </c>
      <c r="F187" s="166">
        <f t="shared" si="13"/>
        <v>7552</v>
      </c>
      <c r="G187" s="121"/>
      <c r="H187" s="121">
        <v>5192</v>
      </c>
      <c r="I187" s="121">
        <v>2360</v>
      </c>
      <c r="J187" s="121"/>
      <c r="K187" s="121"/>
      <c r="L187" s="121"/>
      <c r="M187" s="121"/>
      <c r="N187" s="121"/>
      <c r="O187" s="121"/>
      <c r="P187" s="121"/>
    </row>
    <row r="188" spans="1:16" ht="15" customHeight="1">
      <c r="A188" s="97" t="s">
        <v>138</v>
      </c>
      <c r="B188" s="96">
        <f t="shared" si="12"/>
        <v>11139</v>
      </c>
      <c r="C188" s="166">
        <f t="shared" si="14"/>
        <v>388</v>
      </c>
      <c r="D188" s="166">
        <v>350</v>
      </c>
      <c r="E188" s="166">
        <v>38</v>
      </c>
      <c r="F188" s="166">
        <f t="shared" si="13"/>
        <v>10751</v>
      </c>
      <c r="G188" s="121">
        <v>24</v>
      </c>
      <c r="H188" s="121">
        <v>7535</v>
      </c>
      <c r="I188" s="121">
        <v>3192</v>
      </c>
      <c r="J188" s="121"/>
      <c r="K188" s="121"/>
      <c r="L188" s="121"/>
      <c r="M188" s="121"/>
      <c r="N188" s="121"/>
      <c r="O188" s="121"/>
      <c r="P188" s="121"/>
    </row>
    <row r="189" spans="1:16" ht="15" customHeight="1">
      <c r="A189" s="97" t="s">
        <v>23</v>
      </c>
      <c r="B189" s="96">
        <f t="shared" si="12"/>
        <v>9937</v>
      </c>
      <c r="C189" s="166">
        <f t="shared" si="14"/>
        <v>807</v>
      </c>
      <c r="D189" s="166">
        <v>600</v>
      </c>
      <c r="E189" s="166">
        <v>207</v>
      </c>
      <c r="F189" s="166">
        <f>SUM(G189:K189)</f>
        <v>9130</v>
      </c>
      <c r="G189" s="121"/>
      <c r="H189" s="121">
        <v>3900</v>
      </c>
      <c r="I189" s="121">
        <v>5230</v>
      </c>
      <c r="J189" s="121"/>
      <c r="K189" s="121"/>
      <c r="L189" s="121"/>
      <c r="M189" s="121"/>
      <c r="N189" s="121"/>
      <c r="O189" s="121"/>
      <c r="P189" s="121"/>
    </row>
    <row r="190" spans="1:16" ht="15" customHeight="1">
      <c r="A190" s="97" t="s">
        <v>24</v>
      </c>
      <c r="B190" s="96">
        <f t="shared" si="12"/>
        <v>5048</v>
      </c>
      <c r="C190" s="166">
        <f t="shared" si="14"/>
        <v>202</v>
      </c>
      <c r="D190" s="166"/>
      <c r="E190" s="166">
        <v>202</v>
      </c>
      <c r="F190" s="166">
        <f t="shared" si="13"/>
        <v>4846</v>
      </c>
      <c r="G190" s="121"/>
      <c r="H190" s="121">
        <v>2816</v>
      </c>
      <c r="I190" s="121">
        <v>2030</v>
      </c>
      <c r="J190" s="121"/>
      <c r="K190" s="121"/>
      <c r="L190" s="121"/>
      <c r="M190" s="121"/>
      <c r="N190" s="121"/>
      <c r="O190" s="121"/>
      <c r="P190" s="121"/>
    </row>
    <row r="191" spans="1:16" ht="15" customHeight="1">
      <c r="A191" s="97" t="s">
        <v>25</v>
      </c>
      <c r="B191" s="96">
        <f t="shared" si="12"/>
        <v>22922</v>
      </c>
      <c r="C191" s="166">
        <f t="shared" si="14"/>
        <v>1557</v>
      </c>
      <c r="D191" s="166">
        <v>1500</v>
      </c>
      <c r="E191" s="166">
        <v>57</v>
      </c>
      <c r="F191" s="166">
        <f t="shared" si="13"/>
        <v>21365</v>
      </c>
      <c r="G191" s="121"/>
      <c r="H191" s="121">
        <v>13625</v>
      </c>
      <c r="I191" s="121">
        <f>6750+990</f>
        <v>7740</v>
      </c>
      <c r="J191" s="121"/>
      <c r="K191" s="121"/>
      <c r="L191" s="121"/>
      <c r="M191" s="123"/>
      <c r="N191" s="121"/>
      <c r="O191" s="121"/>
      <c r="P191" s="121"/>
    </row>
    <row r="192" spans="1:16" ht="15" customHeight="1">
      <c r="A192" s="157" t="s">
        <v>82</v>
      </c>
      <c r="B192" s="96">
        <f t="shared" si="12"/>
        <v>18761</v>
      </c>
      <c r="C192" s="166">
        <f t="shared" si="14"/>
        <v>445</v>
      </c>
      <c r="D192" s="172">
        <v>400</v>
      </c>
      <c r="E192" s="172">
        <v>45</v>
      </c>
      <c r="F192" s="166">
        <f t="shared" si="13"/>
        <v>18316</v>
      </c>
      <c r="G192" s="123">
        <v>24</v>
      </c>
      <c r="H192" s="123">
        <f>9165+6317</f>
        <v>15482</v>
      </c>
      <c r="I192" s="123">
        <f>2810</f>
        <v>2810</v>
      </c>
      <c r="J192" s="123"/>
      <c r="K192" s="123"/>
      <c r="L192" s="123"/>
      <c r="M192" s="121"/>
      <c r="N192" s="123"/>
      <c r="O192" s="123"/>
      <c r="P192" s="123"/>
    </row>
    <row r="193" spans="1:16" ht="15" customHeight="1">
      <c r="A193" s="97" t="s">
        <v>137</v>
      </c>
      <c r="B193" s="96">
        <f t="shared" si="12"/>
        <v>2158</v>
      </c>
      <c r="C193" s="166">
        <f t="shared" si="14"/>
        <v>100</v>
      </c>
      <c r="D193" s="166">
        <v>100</v>
      </c>
      <c r="E193" s="166"/>
      <c r="F193" s="166">
        <f t="shared" si="13"/>
        <v>2058</v>
      </c>
      <c r="G193" s="121"/>
      <c r="H193" s="121">
        <v>1108</v>
      </c>
      <c r="I193" s="121">
        <v>950</v>
      </c>
      <c r="J193" s="121"/>
      <c r="K193" s="121"/>
      <c r="L193" s="121"/>
      <c r="M193" s="121"/>
      <c r="N193" s="121"/>
      <c r="O193" s="121"/>
      <c r="P193" s="121"/>
    </row>
    <row r="194" spans="1:16" ht="15" customHeight="1">
      <c r="A194" s="97" t="s">
        <v>102</v>
      </c>
      <c r="B194" s="96">
        <f t="shared" si="12"/>
        <v>11607</v>
      </c>
      <c r="C194" s="166">
        <f t="shared" si="14"/>
        <v>232</v>
      </c>
      <c r="D194" s="166">
        <v>200</v>
      </c>
      <c r="E194" s="166">
        <v>32</v>
      </c>
      <c r="F194" s="166">
        <f t="shared" si="13"/>
        <v>11375</v>
      </c>
      <c r="G194" s="121"/>
      <c r="H194" s="121">
        <v>5873</v>
      </c>
      <c r="I194" s="121">
        <v>5502</v>
      </c>
      <c r="J194" s="121"/>
      <c r="K194" s="121"/>
      <c r="L194" s="121"/>
      <c r="M194" s="121"/>
      <c r="N194" s="121"/>
      <c r="O194" s="121"/>
      <c r="P194" s="121"/>
    </row>
    <row r="195" spans="1:16" ht="15" customHeight="1">
      <c r="A195" s="131" t="s">
        <v>143</v>
      </c>
      <c r="B195" s="96">
        <f t="shared" si="12"/>
        <v>5830</v>
      </c>
      <c r="C195" s="177">
        <f t="shared" si="14"/>
        <v>125</v>
      </c>
      <c r="D195" s="177"/>
      <c r="E195" s="177">
        <v>125</v>
      </c>
      <c r="F195" s="177">
        <f t="shared" si="13"/>
        <v>5705</v>
      </c>
      <c r="G195" s="125"/>
      <c r="H195" s="125">
        <v>3255</v>
      </c>
      <c r="I195" s="125">
        <v>2450</v>
      </c>
      <c r="J195" s="125"/>
      <c r="K195" s="125"/>
      <c r="L195" s="125"/>
      <c r="M195" s="125"/>
      <c r="N195" s="125"/>
      <c r="O195" s="125"/>
      <c r="P195" s="125"/>
    </row>
    <row r="196" spans="1:16" ht="15" customHeight="1">
      <c r="A196" s="97" t="s">
        <v>135</v>
      </c>
      <c r="B196" s="96">
        <f t="shared" si="12"/>
        <v>4072</v>
      </c>
      <c r="C196" s="166">
        <f t="shared" si="14"/>
        <v>0</v>
      </c>
      <c r="D196" s="166"/>
      <c r="E196" s="166"/>
      <c r="F196" s="166">
        <f t="shared" si="13"/>
        <v>4072</v>
      </c>
      <c r="G196" s="121"/>
      <c r="H196" s="121">
        <v>2262</v>
      </c>
      <c r="I196" s="121">
        <v>1810</v>
      </c>
      <c r="J196" s="121"/>
      <c r="K196" s="121"/>
      <c r="L196" s="121"/>
      <c r="M196" s="122"/>
      <c r="N196" s="121"/>
      <c r="O196" s="121"/>
      <c r="P196" s="121"/>
    </row>
    <row r="197" spans="1:16" ht="18.75" customHeight="1">
      <c r="A197" s="97" t="s">
        <v>129</v>
      </c>
      <c r="B197" s="96">
        <f t="shared" si="12"/>
        <v>20625</v>
      </c>
      <c r="C197" s="166">
        <f t="shared" si="14"/>
        <v>10644</v>
      </c>
      <c r="D197" s="165">
        <v>9249</v>
      </c>
      <c r="E197" s="165">
        <v>1395</v>
      </c>
      <c r="F197" s="166">
        <f t="shared" si="13"/>
        <v>9981</v>
      </c>
      <c r="G197" s="122">
        <v>158</v>
      </c>
      <c r="H197" s="122">
        <v>6285</v>
      </c>
      <c r="I197" s="122">
        <v>3538</v>
      </c>
      <c r="J197" s="122"/>
      <c r="K197" s="122"/>
      <c r="L197" s="122"/>
      <c r="M197" s="121"/>
      <c r="N197" s="122">
        <v>0</v>
      </c>
      <c r="O197" s="122"/>
      <c r="P197" s="122"/>
    </row>
    <row r="198" spans="1:16" ht="15" customHeight="1">
      <c r="A198" s="97" t="s">
        <v>153</v>
      </c>
      <c r="B198" s="96">
        <f t="shared" si="12"/>
        <v>15738</v>
      </c>
      <c r="C198" s="166">
        <f t="shared" si="14"/>
        <v>2610</v>
      </c>
      <c r="D198" s="174">
        <v>2572</v>
      </c>
      <c r="E198" s="174">
        <v>38</v>
      </c>
      <c r="F198" s="166">
        <f t="shared" si="13"/>
        <v>13128</v>
      </c>
      <c r="G198" s="121"/>
      <c r="H198" s="121">
        <v>7008</v>
      </c>
      <c r="I198" s="121">
        <f>2265+3855</f>
        <v>6120</v>
      </c>
      <c r="J198" s="121"/>
      <c r="K198" s="121"/>
      <c r="L198" s="121"/>
      <c r="M198" s="121"/>
      <c r="N198" s="121"/>
      <c r="O198" s="121"/>
      <c r="P198" s="121"/>
    </row>
    <row r="199" spans="1:16" ht="15" customHeight="1">
      <c r="A199" s="97" t="s">
        <v>145</v>
      </c>
      <c r="B199" s="96">
        <f t="shared" si="12"/>
        <v>8328</v>
      </c>
      <c r="C199" s="166">
        <f t="shared" si="14"/>
        <v>32</v>
      </c>
      <c r="D199" s="166"/>
      <c r="E199" s="166">
        <v>32</v>
      </c>
      <c r="F199" s="166">
        <f>SUM(G199:K199)</f>
        <v>8296</v>
      </c>
      <c r="G199" s="121">
        <v>16</v>
      </c>
      <c r="H199" s="121">
        <v>3630</v>
      </c>
      <c r="I199" s="121">
        <v>4650</v>
      </c>
      <c r="J199" s="121"/>
      <c r="K199" s="121"/>
      <c r="L199" s="121"/>
      <c r="M199" s="121"/>
      <c r="N199" s="121"/>
      <c r="O199" s="121"/>
      <c r="P199" s="121"/>
    </row>
    <row r="200" spans="1:16" ht="15" customHeight="1">
      <c r="A200" s="97" t="s">
        <v>26</v>
      </c>
      <c r="B200" s="96">
        <f t="shared" si="12"/>
        <v>10205</v>
      </c>
      <c r="C200" s="166">
        <f t="shared" si="14"/>
        <v>895</v>
      </c>
      <c r="D200" s="166">
        <v>770</v>
      </c>
      <c r="E200" s="166">
        <v>125</v>
      </c>
      <c r="F200" s="166">
        <f t="shared" si="13"/>
        <v>9310</v>
      </c>
      <c r="G200" s="121">
        <v>90</v>
      </c>
      <c r="H200" s="121">
        <v>5261</v>
      </c>
      <c r="I200" s="121">
        <v>3959</v>
      </c>
      <c r="J200" s="121"/>
      <c r="K200" s="121"/>
      <c r="L200" s="121"/>
      <c r="M200" s="121"/>
      <c r="N200" s="121"/>
      <c r="O200" s="121"/>
      <c r="P200" s="121"/>
    </row>
    <row r="201" spans="1:16" ht="15" customHeight="1">
      <c r="A201" s="97" t="s">
        <v>100</v>
      </c>
      <c r="B201" s="96">
        <f t="shared" si="12"/>
        <v>151792</v>
      </c>
      <c r="C201" s="166">
        <f>D201+E201</f>
        <v>109582</v>
      </c>
      <c r="D201" s="166">
        <f>79644+3500+6190</f>
        <v>89334</v>
      </c>
      <c r="E201" s="166">
        <f>18788+1460</f>
        <v>20248</v>
      </c>
      <c r="F201" s="166">
        <f t="shared" si="13"/>
        <v>42210</v>
      </c>
      <c r="G201" s="121"/>
      <c r="H201" s="121">
        <v>31029</v>
      </c>
      <c r="I201" s="121">
        <v>11181</v>
      </c>
      <c r="J201" s="121"/>
      <c r="K201" s="121"/>
      <c r="L201" s="121"/>
      <c r="M201" s="121"/>
      <c r="N201" s="121"/>
      <c r="O201" s="121"/>
      <c r="P201" s="121"/>
    </row>
    <row r="202" spans="1:16" ht="15.75" customHeight="1">
      <c r="A202" s="97" t="s">
        <v>99</v>
      </c>
      <c r="B202" s="96">
        <f t="shared" si="12"/>
        <v>16485</v>
      </c>
      <c r="C202" s="166">
        <f t="shared" si="14"/>
        <v>319</v>
      </c>
      <c r="D202" s="166">
        <v>300</v>
      </c>
      <c r="E202" s="166">
        <v>19</v>
      </c>
      <c r="F202" s="166">
        <f t="shared" si="13"/>
        <v>16166</v>
      </c>
      <c r="G202" s="121"/>
      <c r="H202" s="121">
        <v>9110</v>
      </c>
      <c r="I202" s="121">
        <v>7056</v>
      </c>
      <c r="J202" s="121"/>
      <c r="K202" s="121"/>
      <c r="L202" s="121"/>
      <c r="M202" s="121"/>
      <c r="N202" s="121"/>
      <c r="O202" s="121"/>
      <c r="P202" s="121"/>
    </row>
    <row r="203" spans="1:17" ht="25.15" customHeight="1">
      <c r="A203" s="97" t="s">
        <v>103</v>
      </c>
      <c r="B203" s="96">
        <f t="shared" si="12"/>
        <v>10173</v>
      </c>
      <c r="C203" s="166">
        <f t="shared" si="14"/>
        <v>38</v>
      </c>
      <c r="D203" s="166"/>
      <c r="E203" s="166">
        <v>38</v>
      </c>
      <c r="F203" s="166">
        <f t="shared" si="13"/>
        <v>10135</v>
      </c>
      <c r="G203" s="121"/>
      <c r="H203" s="121">
        <v>5271</v>
      </c>
      <c r="I203" s="121">
        <v>4864</v>
      </c>
      <c r="J203" s="121"/>
      <c r="K203" s="121"/>
      <c r="L203" s="121"/>
      <c r="M203" s="121"/>
      <c r="N203" s="121"/>
      <c r="O203" s="121"/>
      <c r="P203" s="121"/>
      <c r="Q203" s="65"/>
    </row>
    <row r="204" spans="1:16" ht="30" customHeight="1">
      <c r="A204" s="161" t="s">
        <v>101</v>
      </c>
      <c r="B204" s="96">
        <f t="shared" si="12"/>
        <v>69733</v>
      </c>
      <c r="C204" s="166">
        <f t="shared" si="14"/>
        <v>48652</v>
      </c>
      <c r="D204" s="166">
        <f>36615+2751</f>
        <v>39366</v>
      </c>
      <c r="E204" s="166">
        <f>8637+649</f>
        <v>9286</v>
      </c>
      <c r="F204" s="166">
        <f t="shared" si="13"/>
        <v>21081</v>
      </c>
      <c r="G204" s="121"/>
      <c r="H204" s="121">
        <v>11319</v>
      </c>
      <c r="I204" s="121">
        <v>9762</v>
      </c>
      <c r="J204" s="121"/>
      <c r="K204" s="121"/>
      <c r="L204" s="121"/>
      <c r="M204" s="121"/>
      <c r="N204" s="121"/>
      <c r="O204" s="121"/>
      <c r="P204" s="121"/>
    </row>
    <row r="205" spans="1:16" ht="30" customHeight="1">
      <c r="A205" s="161" t="s">
        <v>621</v>
      </c>
      <c r="B205" s="96">
        <f t="shared" si="12"/>
        <v>13038</v>
      </c>
      <c r="C205" s="166">
        <f>D205+E205</f>
        <v>10623</v>
      </c>
      <c r="D205" s="166">
        <v>8595</v>
      </c>
      <c r="E205" s="166">
        <v>2028</v>
      </c>
      <c r="F205" s="166">
        <f t="shared" si="13"/>
        <v>1915</v>
      </c>
      <c r="G205" s="121"/>
      <c r="H205" s="121">
        <v>350</v>
      </c>
      <c r="I205" s="121">
        <v>965</v>
      </c>
      <c r="J205" s="121">
        <v>600</v>
      </c>
      <c r="K205" s="121"/>
      <c r="L205" s="121"/>
      <c r="M205" s="121"/>
      <c r="N205" s="121">
        <v>500</v>
      </c>
      <c r="O205" s="121"/>
      <c r="P205" s="121"/>
    </row>
    <row r="206" spans="1:16" ht="30" customHeight="1">
      <c r="A206" s="161" t="s">
        <v>622</v>
      </c>
      <c r="B206" s="96">
        <f t="shared" si="12"/>
        <v>10150</v>
      </c>
      <c r="C206" s="166">
        <f t="shared" si="14"/>
        <v>8326</v>
      </c>
      <c r="D206" s="166">
        <v>6737</v>
      </c>
      <c r="E206" s="166">
        <v>1589</v>
      </c>
      <c r="F206" s="166">
        <f t="shared" si="13"/>
        <v>1824</v>
      </c>
      <c r="G206" s="121"/>
      <c r="H206" s="121">
        <v>610</v>
      </c>
      <c r="I206" s="121">
        <v>1214</v>
      </c>
      <c r="J206" s="121"/>
      <c r="K206" s="121"/>
      <c r="L206" s="121"/>
      <c r="M206" s="121"/>
      <c r="N206" s="121"/>
      <c r="O206" s="121"/>
      <c r="P206" s="121"/>
    </row>
    <row r="207" spans="1:16" ht="20.25" customHeight="1">
      <c r="A207" s="161" t="s">
        <v>116</v>
      </c>
      <c r="B207" s="96">
        <f t="shared" si="12"/>
        <v>596614</v>
      </c>
      <c r="C207" s="166">
        <f t="shared" si="14"/>
        <v>591131</v>
      </c>
      <c r="D207" s="172">
        <f>450790+27510</f>
        <v>478300</v>
      </c>
      <c r="E207" s="172">
        <f>106341+6490</f>
        <v>112831</v>
      </c>
      <c r="F207" s="166">
        <f t="shared" si="13"/>
        <v>5483</v>
      </c>
      <c r="G207" s="122">
        <v>170</v>
      </c>
      <c r="H207" s="122">
        <v>1383</v>
      </c>
      <c r="I207" s="122">
        <f>3130+800</f>
        <v>3930</v>
      </c>
      <c r="J207" s="122"/>
      <c r="K207" s="122"/>
      <c r="L207" s="122"/>
      <c r="M207" s="122"/>
      <c r="N207" s="122"/>
      <c r="O207" s="122"/>
      <c r="P207" s="122"/>
    </row>
    <row r="208" spans="1:16" ht="21.75" customHeight="1">
      <c r="A208" s="161" t="s">
        <v>117</v>
      </c>
      <c r="B208" s="96">
        <f t="shared" si="12"/>
        <v>42349</v>
      </c>
      <c r="C208" s="166">
        <f>D208+E208</f>
        <v>1300</v>
      </c>
      <c r="D208" s="172">
        <v>1300</v>
      </c>
      <c r="E208" s="172"/>
      <c r="F208" s="166">
        <f t="shared" si="15" ref="F208:F230">SUM(G208:K208)</f>
        <v>41049</v>
      </c>
      <c r="G208" s="122"/>
      <c r="H208" s="122">
        <v>29310</v>
      </c>
      <c r="I208" s="122">
        <v>11739</v>
      </c>
      <c r="J208" s="122"/>
      <c r="K208" s="122"/>
      <c r="L208" s="122"/>
      <c r="M208" s="121"/>
      <c r="N208" s="122"/>
      <c r="O208" s="122"/>
      <c r="P208" s="122"/>
    </row>
    <row r="209" spans="1:16" ht="21" customHeight="1">
      <c r="A209" s="161" t="s">
        <v>27</v>
      </c>
      <c r="B209" s="96">
        <f t="shared" si="12"/>
        <v>65300</v>
      </c>
      <c r="C209" s="166">
        <f t="shared" si="14"/>
        <v>0</v>
      </c>
      <c r="D209" s="166">
        <v>0</v>
      </c>
      <c r="E209" s="166"/>
      <c r="F209" s="166">
        <f t="shared" si="15"/>
        <v>65300</v>
      </c>
      <c r="G209" s="121">
        <v>0</v>
      </c>
      <c r="H209" s="121">
        <v>45300</v>
      </c>
      <c r="I209" s="121">
        <v>20000</v>
      </c>
      <c r="J209" s="121"/>
      <c r="K209" s="121">
        <v>0</v>
      </c>
      <c r="L209" s="121"/>
      <c r="M209" s="121"/>
      <c r="N209" s="121"/>
      <c r="O209" s="121">
        <v>0</v>
      </c>
      <c r="P209" s="121"/>
    </row>
    <row r="210" spans="1:16" ht="22.5" customHeight="1">
      <c r="A210" s="161" t="s">
        <v>28</v>
      </c>
      <c r="B210" s="96">
        <f>SUM(C210+F210,L210:P210)</f>
        <v>939895</v>
      </c>
      <c r="C210" s="166">
        <f t="shared" si="14"/>
        <v>798783</v>
      </c>
      <c r="D210" s="166">
        <f>275542+3666+212729+154380</f>
        <v>646317</v>
      </c>
      <c r="E210" s="166">
        <f>65000+865+50183+36418</f>
        <v>152466</v>
      </c>
      <c r="F210" s="166">
        <f t="shared" si="15"/>
        <v>126313</v>
      </c>
      <c r="G210" s="121"/>
      <c r="H210" s="121">
        <v>47328</v>
      </c>
      <c r="I210" s="121">
        <f>76162+I211</f>
        <v>78985</v>
      </c>
      <c r="J210" s="121"/>
      <c r="K210" s="121"/>
      <c r="L210" s="121"/>
      <c r="M210" s="121"/>
      <c r="N210" s="121">
        <f>4599+10000+N211</f>
        <v>14799</v>
      </c>
      <c r="O210" s="121"/>
      <c r="P210" s="121"/>
    </row>
    <row r="211" spans="1:16" ht="22.5" customHeight="1">
      <c r="A211" s="191" t="s">
        <v>760</v>
      </c>
      <c r="B211" s="96">
        <f>SUM(C211+F211,L211:P211)</f>
        <v>3023</v>
      </c>
      <c r="C211" s="166">
        <f t="shared" si="14"/>
        <v>0</v>
      </c>
      <c r="D211" s="166"/>
      <c r="E211" s="166"/>
      <c r="F211" s="166">
        <f t="shared" si="15"/>
        <v>2823</v>
      </c>
      <c r="G211" s="166"/>
      <c r="H211" s="166"/>
      <c r="I211" s="166">
        <v>2823</v>
      </c>
      <c r="J211" s="166"/>
      <c r="K211" s="166"/>
      <c r="L211" s="166"/>
      <c r="M211" s="166"/>
      <c r="N211" s="166">
        <v>200</v>
      </c>
      <c r="O211" s="121"/>
      <c r="P211" s="121"/>
    </row>
    <row r="212" spans="1:18" ht="18.75" customHeight="1">
      <c r="A212" s="161" t="s">
        <v>29</v>
      </c>
      <c r="B212" s="96">
        <f t="shared" si="12"/>
        <v>596748</v>
      </c>
      <c r="C212" s="166">
        <f t="shared" si="14"/>
        <v>515821</v>
      </c>
      <c r="D212" s="166">
        <f>212047+135930+68983</f>
        <v>416960</v>
      </c>
      <c r="E212" s="166">
        <f>50022+32066+500+16273</f>
        <v>98861</v>
      </c>
      <c r="F212" s="166">
        <f t="shared" si="15"/>
        <v>80827</v>
      </c>
      <c r="G212" s="166"/>
      <c r="H212" s="166">
        <v>29195</v>
      </c>
      <c r="I212" s="166">
        <f>49209+400+I213</f>
        <v>51632</v>
      </c>
      <c r="J212" s="166"/>
      <c r="K212" s="166"/>
      <c r="L212" s="166"/>
      <c r="M212" s="166"/>
      <c r="N212" s="166">
        <f>N213</f>
        <v>100</v>
      </c>
      <c r="O212" s="121"/>
      <c r="P212" s="121"/>
      <c r="Q212" s="65"/>
      <c r="R212" s="65"/>
    </row>
    <row r="213" spans="1:17" ht="18.75" customHeight="1">
      <c r="A213" s="191" t="s">
        <v>760</v>
      </c>
      <c r="B213" s="96">
        <f t="shared" si="12"/>
        <v>2123</v>
      </c>
      <c r="C213" s="166">
        <f t="shared" si="14"/>
        <v>0</v>
      </c>
      <c r="D213" s="166"/>
      <c r="E213" s="166"/>
      <c r="F213" s="166">
        <f t="shared" si="15"/>
        <v>2023</v>
      </c>
      <c r="G213" s="166"/>
      <c r="H213" s="166"/>
      <c r="I213" s="166">
        <v>2023</v>
      </c>
      <c r="J213" s="166"/>
      <c r="K213" s="166"/>
      <c r="L213" s="166"/>
      <c r="M213" s="166"/>
      <c r="N213" s="166">
        <v>100</v>
      </c>
      <c r="O213" s="121"/>
      <c r="P213" s="121"/>
      <c r="Q213" s="65"/>
    </row>
    <row r="214" spans="1:16" ht="17.25" customHeight="1">
      <c r="A214" s="161" t="s">
        <v>30</v>
      </c>
      <c r="B214" s="96">
        <f t="shared" si="12"/>
        <v>155845</v>
      </c>
      <c r="C214" s="166">
        <f t="shared" si="14"/>
        <v>146117</v>
      </c>
      <c r="D214" s="166">
        <f>33996+77214+7017</f>
        <v>118227</v>
      </c>
      <c r="E214" s="166">
        <f>8020+18215+1655</f>
        <v>27890</v>
      </c>
      <c r="F214" s="166">
        <f t="shared" si="15"/>
        <v>9728</v>
      </c>
      <c r="G214" s="166"/>
      <c r="H214" s="166">
        <v>1176</v>
      </c>
      <c r="I214" s="166">
        <f>8336+I215</f>
        <v>8552</v>
      </c>
      <c r="J214" s="166"/>
      <c r="K214" s="166"/>
      <c r="L214" s="166"/>
      <c r="M214" s="166"/>
      <c r="N214" s="166"/>
      <c r="O214" s="121"/>
      <c r="P214" s="121"/>
    </row>
    <row r="215" spans="1:16" ht="17.25" customHeight="1">
      <c r="A215" s="191" t="s">
        <v>760</v>
      </c>
      <c r="B215" s="96">
        <f t="shared" si="12"/>
        <v>216</v>
      </c>
      <c r="C215" s="166">
        <f t="shared" si="14"/>
        <v>0</v>
      </c>
      <c r="D215" s="166"/>
      <c r="E215" s="166"/>
      <c r="F215" s="166">
        <f t="shared" si="15"/>
        <v>216</v>
      </c>
      <c r="G215" s="166"/>
      <c r="H215" s="166"/>
      <c r="I215" s="166">
        <v>216</v>
      </c>
      <c r="J215" s="166"/>
      <c r="K215" s="166"/>
      <c r="L215" s="166"/>
      <c r="M215" s="166"/>
      <c r="N215" s="166"/>
      <c r="O215" s="121"/>
      <c r="P215" s="121"/>
    </row>
    <row r="216" spans="1:16" ht="15" customHeight="1">
      <c r="A216" s="161" t="s">
        <v>540</v>
      </c>
      <c r="B216" s="96">
        <f t="shared" si="12"/>
        <v>344671</v>
      </c>
      <c r="C216" s="166">
        <f t="shared" si="14"/>
        <v>313686</v>
      </c>
      <c r="D216" s="166">
        <f>102876+129523+4800+16370</f>
        <v>253569</v>
      </c>
      <c r="E216" s="166">
        <f>24268+30555+300+1132+3862</f>
        <v>60117</v>
      </c>
      <c r="F216" s="166">
        <f t="shared" si="15"/>
        <v>30985</v>
      </c>
      <c r="G216" s="166"/>
      <c r="H216" s="166">
        <v>7701</v>
      </c>
      <c r="I216" s="166">
        <f>22745+I217</f>
        <v>23249</v>
      </c>
      <c r="J216" s="166"/>
      <c r="K216" s="166">
        <v>35</v>
      </c>
      <c r="L216" s="166"/>
      <c r="M216" s="166"/>
      <c r="N216" s="166"/>
      <c r="O216" s="121"/>
      <c r="P216" s="121"/>
    </row>
    <row r="217" spans="1:16" ht="15" customHeight="1">
      <c r="A217" s="191" t="s">
        <v>760</v>
      </c>
      <c r="B217" s="96">
        <f t="shared" si="12"/>
        <v>504</v>
      </c>
      <c r="C217" s="166">
        <f t="shared" si="14"/>
        <v>0</v>
      </c>
      <c r="D217" s="166"/>
      <c r="E217" s="166"/>
      <c r="F217" s="166">
        <f t="shared" si="15"/>
        <v>504</v>
      </c>
      <c r="G217" s="166"/>
      <c r="H217" s="166"/>
      <c r="I217" s="166">
        <v>504</v>
      </c>
      <c r="J217" s="166"/>
      <c r="K217" s="166"/>
      <c r="L217" s="166"/>
      <c r="M217" s="166"/>
      <c r="N217" s="166"/>
      <c r="O217" s="121"/>
      <c r="P217" s="121"/>
    </row>
    <row r="218" spans="1:16" ht="30" customHeight="1">
      <c r="A218" s="161" t="s">
        <v>107</v>
      </c>
      <c r="B218" s="96">
        <f t="shared" si="12"/>
        <v>351786</v>
      </c>
      <c r="C218" s="166">
        <f t="shared" si="14"/>
        <v>318980</v>
      </c>
      <c r="D218" s="166">
        <f>76375+139867+41893</f>
        <v>258135</v>
      </c>
      <c r="E218" s="166">
        <f>18017+32995+9833</f>
        <v>60845</v>
      </c>
      <c r="F218" s="166">
        <f t="shared" si="15"/>
        <v>32606</v>
      </c>
      <c r="G218" s="166"/>
      <c r="H218" s="166">
        <v>8200</v>
      </c>
      <c r="I218" s="166">
        <f>23490+I219</f>
        <v>24406</v>
      </c>
      <c r="J218" s="166"/>
      <c r="K218" s="166"/>
      <c r="L218" s="166"/>
      <c r="M218" s="166"/>
      <c r="N218" s="166">
        <f>N219</f>
        <v>200</v>
      </c>
      <c r="O218" s="121"/>
      <c r="P218" s="121"/>
    </row>
    <row r="219" spans="1:16" ht="30" customHeight="1">
      <c r="A219" s="191" t="s">
        <v>760</v>
      </c>
      <c r="B219" s="96">
        <f t="shared" si="12"/>
        <v>1116</v>
      </c>
      <c r="C219" s="166">
        <f t="shared" si="14"/>
        <v>0</v>
      </c>
      <c r="D219" s="166"/>
      <c r="E219" s="166"/>
      <c r="F219" s="166">
        <f t="shared" si="15"/>
        <v>916</v>
      </c>
      <c r="G219" s="166"/>
      <c r="H219" s="166"/>
      <c r="I219" s="166">
        <v>916</v>
      </c>
      <c r="J219" s="166"/>
      <c r="K219" s="166"/>
      <c r="L219" s="166"/>
      <c r="M219" s="166"/>
      <c r="N219" s="166">
        <v>200</v>
      </c>
      <c r="O219" s="121"/>
      <c r="P219" s="121"/>
    </row>
    <row r="220" spans="1:16" ht="30" customHeight="1">
      <c r="A220" s="161" t="s">
        <v>630</v>
      </c>
      <c r="B220" s="96">
        <f t="shared" si="12"/>
        <v>51356</v>
      </c>
      <c r="C220" s="166">
        <f t="shared" si="14"/>
        <v>38456</v>
      </c>
      <c r="D220" s="166">
        <v>31116</v>
      </c>
      <c r="E220" s="166">
        <v>7340</v>
      </c>
      <c r="F220" s="166">
        <f t="shared" si="15"/>
        <v>12900</v>
      </c>
      <c r="G220" s="166"/>
      <c r="H220" s="166">
        <v>2760</v>
      </c>
      <c r="I220" s="166">
        <v>10090</v>
      </c>
      <c r="J220" s="166">
        <v>50</v>
      </c>
      <c r="K220" s="166"/>
      <c r="L220" s="166"/>
      <c r="M220" s="166"/>
      <c r="N220" s="166"/>
      <c r="O220" s="121"/>
      <c r="P220" s="121"/>
    </row>
    <row r="221" spans="1:16" ht="30" customHeight="1">
      <c r="A221" s="161" t="s">
        <v>66</v>
      </c>
      <c r="B221" s="96">
        <f>SUM(C221+F221,L221:P221)</f>
        <v>1228371</v>
      </c>
      <c r="C221" s="166">
        <f t="shared" si="14"/>
        <v>846749</v>
      </c>
      <c r="D221" s="166">
        <f>109248+14100+4008+15139+542633</f>
        <v>685128</v>
      </c>
      <c r="E221" s="166">
        <f>25772+945+3326+3571+128007</f>
        <v>161621</v>
      </c>
      <c r="F221" s="166">
        <f t="shared" si="15"/>
        <v>340030</v>
      </c>
      <c r="G221" s="166">
        <v>100</v>
      </c>
      <c r="H221" s="166">
        <v>76882</v>
      </c>
      <c r="I221" s="166">
        <f>251567+I222</f>
        <v>263048</v>
      </c>
      <c r="J221" s="166"/>
      <c r="K221" s="166"/>
      <c r="L221" s="166"/>
      <c r="M221" s="166"/>
      <c r="N221" s="166">
        <f>16592+20000+N222</f>
        <v>41592</v>
      </c>
      <c r="O221" s="121"/>
      <c r="P221" s="121"/>
    </row>
    <row r="222" spans="1:17" ht="30" customHeight="1">
      <c r="A222" s="191" t="s">
        <v>760</v>
      </c>
      <c r="B222" s="96">
        <f>SUM(C222+F222,L222:P222)</f>
        <v>16481</v>
      </c>
      <c r="C222" s="166">
        <f t="shared" si="14"/>
        <v>0</v>
      </c>
      <c r="D222" s="166"/>
      <c r="E222" s="166"/>
      <c r="F222" s="166">
        <f t="shared" si="15"/>
        <v>11481</v>
      </c>
      <c r="G222" s="166"/>
      <c r="H222" s="166"/>
      <c r="I222" s="166">
        <v>11481</v>
      </c>
      <c r="J222" s="166"/>
      <c r="K222" s="166"/>
      <c r="L222" s="166"/>
      <c r="M222" s="166"/>
      <c r="N222" s="166">
        <v>5000</v>
      </c>
      <c r="O222" s="121"/>
      <c r="P222" s="121"/>
      <c r="Q222" s="65"/>
    </row>
    <row r="223" spans="1:19" s="86" customFormat="1" ht="20.25" customHeight="1">
      <c r="A223" s="161" t="s">
        <v>111</v>
      </c>
      <c r="B223" s="96">
        <f t="shared" si="12"/>
        <v>525579</v>
      </c>
      <c r="C223" s="166">
        <f>D223+E223</f>
        <v>442828</v>
      </c>
      <c r="D223" s="166">
        <f>162195+4521+85676+5826+87081+11690+D224</f>
        <v>358304</v>
      </c>
      <c r="E223" s="166">
        <f>36195+1066+20211+2067+1374+20543+2758+E224</f>
        <v>84524</v>
      </c>
      <c r="F223" s="166">
        <f t="shared" si="15"/>
        <v>80770</v>
      </c>
      <c r="G223" s="166">
        <v>54</v>
      </c>
      <c r="H223" s="166">
        <f>22363+H224</f>
        <v>21913</v>
      </c>
      <c r="I223" s="166">
        <f>56939+I224</f>
        <v>58531</v>
      </c>
      <c r="J223" s="166"/>
      <c r="K223" s="166">
        <v>272</v>
      </c>
      <c r="L223" s="166"/>
      <c r="M223" s="166"/>
      <c r="N223" s="166">
        <f>1000+N224</f>
        <v>1981</v>
      </c>
      <c r="O223" s="121"/>
      <c r="P223" s="121"/>
      <c r="Q223" s="52"/>
      <c r="R223" s="52"/>
      <c r="S223" s="52"/>
    </row>
    <row r="224" spans="1:19" s="86" customFormat="1" ht="20.25" customHeight="1">
      <c r="A224" s="194" t="s">
        <v>760</v>
      </c>
      <c r="B224" s="96">
        <f>SUM(C224+F224,L224:P224)</f>
        <v>3748</v>
      </c>
      <c r="C224" s="166">
        <f t="shared" si="14"/>
        <v>1625</v>
      </c>
      <c r="D224" s="166">
        <v>1315</v>
      </c>
      <c r="E224" s="166">
        <v>310</v>
      </c>
      <c r="F224" s="166">
        <f t="shared" si="15"/>
        <v>1142</v>
      </c>
      <c r="G224" s="166"/>
      <c r="H224" s="166">
        <v>-450</v>
      </c>
      <c r="I224" s="166">
        <f>1142+450</f>
        <v>1592</v>
      </c>
      <c r="J224" s="166"/>
      <c r="K224" s="166"/>
      <c r="L224" s="166"/>
      <c r="M224" s="166"/>
      <c r="N224" s="166">
        <v>981</v>
      </c>
      <c r="O224" s="166"/>
      <c r="P224" s="121"/>
      <c r="Q224" s="65"/>
      <c r="R224" s="65"/>
      <c r="S224" s="52"/>
    </row>
    <row r="225" spans="1:16" ht="21.75" customHeight="1">
      <c r="A225" s="230" t="s">
        <v>108</v>
      </c>
      <c r="B225" s="96">
        <f t="shared" si="12"/>
        <v>562625</v>
      </c>
      <c r="C225" s="166">
        <f t="shared" si="14"/>
        <v>508794</v>
      </c>
      <c r="D225" s="172">
        <f>102368+40846+9396+5082+2718+232976+25465+D226</f>
        <v>420166</v>
      </c>
      <c r="E225" s="172">
        <f>24149+2217+9636+1199+641+44469+6007+E226</f>
        <v>88628</v>
      </c>
      <c r="F225" s="176">
        <f t="shared" si="15"/>
        <v>51531</v>
      </c>
      <c r="G225" s="210">
        <v>80</v>
      </c>
      <c r="H225" s="210">
        <v>13185</v>
      </c>
      <c r="I225" s="210">
        <f>36728+I226</f>
        <v>38167</v>
      </c>
      <c r="J225" s="210"/>
      <c r="K225" s="210">
        <v>99</v>
      </c>
      <c r="L225" s="210"/>
      <c r="M225" s="211"/>
      <c r="N225" s="210">
        <f>1400+N226</f>
        <v>2300</v>
      </c>
      <c r="O225" s="127"/>
      <c r="P225" s="127"/>
    </row>
    <row r="226" spans="1:17" ht="21.75" customHeight="1">
      <c r="A226" s="194" t="s">
        <v>760</v>
      </c>
      <c r="B226" s="96">
        <f t="shared" si="12"/>
        <v>3964</v>
      </c>
      <c r="C226" s="166">
        <f t="shared" si="14"/>
        <v>1625</v>
      </c>
      <c r="D226" s="172">
        <v>1315</v>
      </c>
      <c r="E226" s="172">
        <v>310</v>
      </c>
      <c r="F226" s="176">
        <f t="shared" si="15"/>
        <v>1439</v>
      </c>
      <c r="G226" s="172"/>
      <c r="H226" s="172"/>
      <c r="I226" s="172">
        <v>1439</v>
      </c>
      <c r="J226" s="172"/>
      <c r="K226" s="172"/>
      <c r="L226" s="172"/>
      <c r="M226" s="172"/>
      <c r="N226" s="172">
        <v>900</v>
      </c>
      <c r="O226" s="122"/>
      <c r="P226" s="122"/>
      <c r="Q226" s="65"/>
    </row>
    <row r="227" spans="1:16" ht="23.25" customHeight="1">
      <c r="A227" s="161" t="s">
        <v>31</v>
      </c>
      <c r="B227" s="96">
        <f t="shared" si="12"/>
        <v>394825</v>
      </c>
      <c r="C227" s="166">
        <f t="shared" si="14"/>
        <v>348738</v>
      </c>
      <c r="D227" s="166">
        <f>93823+2070+5049+181231</f>
        <v>282173</v>
      </c>
      <c r="E227" s="166">
        <f>22133+488+1191+42753</f>
        <v>66565</v>
      </c>
      <c r="F227" s="166">
        <f t="shared" si="15"/>
        <v>45017</v>
      </c>
      <c r="G227" s="166"/>
      <c r="H227" s="166">
        <v>15636</v>
      </c>
      <c r="I227" s="166">
        <f>27250+I228</f>
        <v>29005</v>
      </c>
      <c r="J227" s="166"/>
      <c r="K227" s="166">
        <v>376</v>
      </c>
      <c r="L227" s="166"/>
      <c r="M227" s="166"/>
      <c r="N227" s="166">
        <f>450+N228</f>
        <v>1070</v>
      </c>
      <c r="O227" s="121"/>
      <c r="P227" s="121"/>
    </row>
    <row r="228" spans="1:16" ht="23.25" customHeight="1">
      <c r="A228" s="191" t="s">
        <v>760</v>
      </c>
      <c r="B228" s="96">
        <f t="shared" si="12"/>
        <v>2375</v>
      </c>
      <c r="C228" s="166">
        <f t="shared" si="14"/>
        <v>0</v>
      </c>
      <c r="D228" s="166"/>
      <c r="E228" s="166"/>
      <c r="F228" s="166">
        <f t="shared" si="15"/>
        <v>1755</v>
      </c>
      <c r="G228" s="166"/>
      <c r="H228" s="166"/>
      <c r="I228" s="166">
        <v>1755</v>
      </c>
      <c r="J228" s="166"/>
      <c r="K228" s="166"/>
      <c r="L228" s="166"/>
      <c r="M228" s="166"/>
      <c r="N228" s="166">
        <v>620</v>
      </c>
      <c r="O228" s="121"/>
      <c r="P228" s="121"/>
    </row>
    <row r="229" spans="1:16" ht="24.75" customHeight="1">
      <c r="A229" s="161" t="s">
        <v>169</v>
      </c>
      <c r="B229" s="96">
        <f t="shared" si="12"/>
        <v>831015</v>
      </c>
      <c r="C229" s="166">
        <f t="shared" si="14"/>
        <v>727535</v>
      </c>
      <c r="D229" s="166">
        <f>177206+94187+2560+20498+10091+271265+12862</f>
        <v>588669</v>
      </c>
      <c r="E229" s="166">
        <f>41803+22219+604+4835+2380+63991+3034</f>
        <v>138866</v>
      </c>
      <c r="F229" s="166">
        <f t="shared" si="15"/>
        <v>101880</v>
      </c>
      <c r="G229" s="166">
        <v>200</v>
      </c>
      <c r="H229" s="166">
        <v>26416</v>
      </c>
      <c r="I229" s="166">
        <f>71663+1175+I230</f>
        <v>75264</v>
      </c>
      <c r="J229" s="166"/>
      <c r="K229" s="166"/>
      <c r="L229" s="166"/>
      <c r="M229" s="166"/>
      <c r="N229" s="166">
        <f>500+N230</f>
        <v>1600</v>
      </c>
      <c r="O229" s="121"/>
      <c r="P229" s="121"/>
    </row>
    <row r="230" spans="1:16" ht="24.75" customHeight="1">
      <c r="A230" s="191" t="s">
        <v>760</v>
      </c>
      <c r="B230" s="96">
        <f t="shared" si="12"/>
        <v>3526</v>
      </c>
      <c r="C230" s="166">
        <f t="shared" si="14"/>
        <v>0</v>
      </c>
      <c r="D230" s="166"/>
      <c r="E230" s="166"/>
      <c r="F230" s="166">
        <f t="shared" si="15"/>
        <v>2426</v>
      </c>
      <c r="G230" s="166"/>
      <c r="H230" s="166"/>
      <c r="I230" s="166">
        <v>2426</v>
      </c>
      <c r="J230" s="166"/>
      <c r="K230" s="166"/>
      <c r="L230" s="166"/>
      <c r="M230" s="166"/>
      <c r="N230" s="166">
        <v>1100</v>
      </c>
      <c r="O230" s="121"/>
      <c r="P230" s="121"/>
    </row>
    <row r="231" spans="1:16" ht="30" customHeight="1">
      <c r="A231" s="161" t="s">
        <v>170</v>
      </c>
      <c r="B231" s="96">
        <f t="shared" si="12"/>
        <v>84508</v>
      </c>
      <c r="C231" s="166">
        <f t="shared" si="14"/>
        <v>62833</v>
      </c>
      <c r="D231" s="166">
        <f>48840+2000</f>
        <v>50840</v>
      </c>
      <c r="E231" s="166">
        <f>11521+472</f>
        <v>11993</v>
      </c>
      <c r="F231" s="166">
        <f t="shared" si="16" ref="F231:F247">SUM(G231:K231)</f>
        <v>21675</v>
      </c>
      <c r="G231" s="166"/>
      <c r="H231" s="166">
        <v>5894</v>
      </c>
      <c r="I231" s="166">
        <f>15385+I232</f>
        <v>15781</v>
      </c>
      <c r="J231" s="166"/>
      <c r="K231" s="166"/>
      <c r="L231" s="166"/>
      <c r="M231" s="166"/>
      <c r="N231" s="166"/>
      <c r="O231" s="121"/>
      <c r="P231" s="121"/>
    </row>
    <row r="232" spans="1:16" ht="30" customHeight="1">
      <c r="A232" s="191" t="s">
        <v>760</v>
      </c>
      <c r="B232" s="96">
        <f t="shared" si="12"/>
        <v>396</v>
      </c>
      <c r="C232" s="166">
        <f t="shared" si="14"/>
        <v>0</v>
      </c>
      <c r="D232" s="166"/>
      <c r="E232" s="166"/>
      <c r="F232" s="166">
        <f t="shared" si="16"/>
        <v>396</v>
      </c>
      <c r="G232" s="166"/>
      <c r="H232" s="166"/>
      <c r="I232" s="166">
        <v>396</v>
      </c>
      <c r="J232" s="166"/>
      <c r="K232" s="166"/>
      <c r="L232" s="166"/>
      <c r="M232" s="166"/>
      <c r="N232" s="166"/>
      <c r="O232" s="121"/>
      <c r="P232" s="121"/>
    </row>
    <row r="233" spans="1:16" ht="21.75" customHeight="1">
      <c r="A233" s="161" t="s">
        <v>32</v>
      </c>
      <c r="B233" s="96">
        <f t="shared" si="12"/>
        <v>1022376</v>
      </c>
      <c r="C233" s="166">
        <f t="shared" si="14"/>
        <v>817062</v>
      </c>
      <c r="D233" s="166">
        <f>180082+32892+4500+32892+12422+403826</f>
        <v>666614</v>
      </c>
      <c r="E233" s="166">
        <f>42481+7759+954+1062+2930+95262</f>
        <v>150448</v>
      </c>
      <c r="F233" s="166">
        <f>SUM(G233:K233)</f>
        <v>196701</v>
      </c>
      <c r="G233" s="166"/>
      <c r="H233" s="166">
        <v>59008</v>
      </c>
      <c r="I233" s="166">
        <f>131505+2005+I234</f>
        <v>137693</v>
      </c>
      <c r="J233" s="166"/>
      <c r="K233" s="166">
        <v>0</v>
      </c>
      <c r="L233" s="166"/>
      <c r="M233" s="166"/>
      <c r="N233" s="166">
        <f>1105+1565+N234</f>
        <v>8613</v>
      </c>
      <c r="O233" s="121"/>
      <c r="P233" s="121"/>
    </row>
    <row r="234" spans="1:16" ht="21.75" customHeight="1">
      <c r="A234" s="191" t="s">
        <v>760</v>
      </c>
      <c r="B234" s="96">
        <f t="shared" si="12"/>
        <v>10126</v>
      </c>
      <c r="C234" s="166">
        <f t="shared" si="14"/>
        <v>0</v>
      </c>
      <c r="D234" s="166"/>
      <c r="E234" s="166"/>
      <c r="F234" s="166">
        <f>SUM(G234:K234)</f>
        <v>4183</v>
      </c>
      <c r="G234" s="166"/>
      <c r="H234" s="166"/>
      <c r="I234" s="166">
        <v>4183</v>
      </c>
      <c r="J234" s="166"/>
      <c r="K234" s="166"/>
      <c r="L234" s="166"/>
      <c r="M234" s="166"/>
      <c r="N234" s="166">
        <f>4993+950</f>
        <v>5943</v>
      </c>
      <c r="O234" s="121"/>
      <c r="P234" s="121"/>
    </row>
    <row r="235" spans="1:16" ht="24.75" customHeight="1">
      <c r="A235" s="161" t="s">
        <v>567</v>
      </c>
      <c r="B235" s="96">
        <f t="shared" si="12"/>
        <v>724996</v>
      </c>
      <c r="C235" s="166">
        <f t="shared" si="14"/>
        <v>593812</v>
      </c>
      <c r="D235" s="166">
        <f>166046+7283+5033+12027+288651+D236</f>
        <v>480355</v>
      </c>
      <c r="E235" s="166">
        <f>39170+1718+1329+2837+68093+E236</f>
        <v>113457</v>
      </c>
      <c r="F235" s="166">
        <f t="shared" si="16"/>
        <v>111029</v>
      </c>
      <c r="G235" s="166">
        <v>280</v>
      </c>
      <c r="H235" s="166">
        <v>29273</v>
      </c>
      <c r="I235" s="166">
        <f>79175+I236</f>
        <v>80821</v>
      </c>
      <c r="J235" s="166">
        <v>213</v>
      </c>
      <c r="K235" s="166">
        <v>442</v>
      </c>
      <c r="L235" s="166"/>
      <c r="M235" s="166"/>
      <c r="N235" s="166">
        <f>15000+N236</f>
        <v>20155</v>
      </c>
      <c r="O235" s="121"/>
      <c r="P235" s="121"/>
    </row>
    <row r="236" spans="1:18" ht="24.75" customHeight="1">
      <c r="A236" s="191" t="s">
        <v>760</v>
      </c>
      <c r="B236" s="96">
        <f t="shared" si="12"/>
        <v>8426</v>
      </c>
      <c r="C236" s="166">
        <f t="shared" si="14"/>
        <v>1625</v>
      </c>
      <c r="D236" s="166">
        <v>1315</v>
      </c>
      <c r="E236" s="166">
        <v>310</v>
      </c>
      <c r="F236" s="166">
        <f t="shared" si="16"/>
        <v>1646</v>
      </c>
      <c r="G236" s="166"/>
      <c r="H236" s="166"/>
      <c r="I236" s="166">
        <v>1646</v>
      </c>
      <c r="J236" s="166"/>
      <c r="K236" s="166"/>
      <c r="L236" s="166"/>
      <c r="M236" s="166"/>
      <c r="N236" s="166">
        <v>5155</v>
      </c>
      <c r="O236" s="121"/>
      <c r="P236" s="121"/>
      <c r="Q236" s="65"/>
      <c r="R236" s="65"/>
    </row>
    <row r="237" spans="1:16" ht="30" customHeight="1">
      <c r="A237" s="161" t="s">
        <v>43</v>
      </c>
      <c r="B237" s="96">
        <f t="shared" si="12"/>
        <v>982349</v>
      </c>
      <c r="C237" s="166">
        <f t="shared" si="14"/>
        <v>730888</v>
      </c>
      <c r="D237" s="166">
        <f>172121+22556+4216+4914+8929+216581+162939+D238</f>
        <v>592334</v>
      </c>
      <c r="E237" s="166">
        <f>40603+5321+995+2106+51091+38438</f>
        <v>138554</v>
      </c>
      <c r="F237" s="166">
        <f t="shared" si="16"/>
        <v>224656</v>
      </c>
      <c r="G237" s="166">
        <f>250+G238</f>
        <v>450</v>
      </c>
      <c r="H237" s="166">
        <f>85819+H238</f>
        <v>82857</v>
      </c>
      <c r="I237" s="166">
        <f>135792+I238</f>
        <v>141217</v>
      </c>
      <c r="J237" s="166"/>
      <c r="K237" s="166">
        <v>132</v>
      </c>
      <c r="L237" s="166"/>
      <c r="M237" s="166"/>
      <c r="N237" s="166">
        <f>10000+N238</f>
        <v>12405</v>
      </c>
      <c r="O237" s="121">
        <v>14400</v>
      </c>
      <c r="P237" s="121"/>
    </row>
    <row r="238" spans="1:17" ht="30" customHeight="1">
      <c r="A238" s="191" t="s">
        <v>760</v>
      </c>
      <c r="B238" s="96">
        <f>SUM(C238+F238,L238:P238)</f>
        <v>5146</v>
      </c>
      <c r="C238" s="166">
        <f t="shared" si="14"/>
        <v>78</v>
      </c>
      <c r="D238" s="166">
        <v>78</v>
      </c>
      <c r="E238" s="166"/>
      <c r="F238" s="166">
        <f t="shared" si="16"/>
        <v>2663</v>
      </c>
      <c r="G238" s="166">
        <v>200</v>
      </c>
      <c r="H238" s="166">
        <f>-2762+(-200)</f>
        <v>-2962</v>
      </c>
      <c r="I238" s="166">
        <f>2684+2741</f>
        <v>5425</v>
      </c>
      <c r="J238" s="166"/>
      <c r="K238" s="166"/>
      <c r="L238" s="166"/>
      <c r="M238" s="166"/>
      <c r="N238" s="166">
        <v>2405</v>
      </c>
      <c r="O238" s="121"/>
      <c r="P238" s="121"/>
      <c r="Q238" s="65"/>
    </row>
    <row r="239" spans="1:16" ht="25.5" customHeight="1">
      <c r="A239" s="161" t="s">
        <v>110</v>
      </c>
      <c r="B239" s="96">
        <f t="shared" si="12"/>
        <v>642817</v>
      </c>
      <c r="C239" s="166">
        <f t="shared" si="14"/>
        <v>549451</v>
      </c>
      <c r="D239" s="166">
        <f>152580+115625+3527+7373+134911+29232+D240</f>
        <v>444563</v>
      </c>
      <c r="E239" s="166">
        <f>35994+27276+848+1739+31825+6896+E240</f>
        <v>104888</v>
      </c>
      <c r="F239" s="166">
        <f t="shared" si="17" ref="F239:F244">SUM(G239:K239)</f>
        <v>90266</v>
      </c>
      <c r="G239" s="166"/>
      <c r="H239" s="166">
        <f>21065+2633+760</f>
        <v>24458</v>
      </c>
      <c r="I239" s="166">
        <f>44810+16179+370+1830+I240</f>
        <v>65250</v>
      </c>
      <c r="J239" s="166"/>
      <c r="K239" s="166">
        <v>558</v>
      </c>
      <c r="L239" s="166"/>
      <c r="M239" s="166"/>
      <c r="N239" s="166">
        <f>700+N240</f>
        <v>3100</v>
      </c>
      <c r="O239" s="121"/>
      <c r="P239" s="121"/>
    </row>
    <row r="240" spans="1:17" ht="25.5" customHeight="1">
      <c r="A240" s="191" t="s">
        <v>760</v>
      </c>
      <c r="B240" s="96">
        <f t="shared" si="12"/>
        <v>6086</v>
      </c>
      <c r="C240" s="166">
        <f t="shared" si="14"/>
        <v>1625</v>
      </c>
      <c r="D240" s="166">
        <v>1315</v>
      </c>
      <c r="E240" s="166">
        <v>310</v>
      </c>
      <c r="F240" s="166">
        <f t="shared" si="17"/>
        <v>2061</v>
      </c>
      <c r="G240" s="166"/>
      <c r="H240" s="166"/>
      <c r="I240" s="166">
        <f>1161+900</f>
        <v>2061</v>
      </c>
      <c r="J240" s="166"/>
      <c r="K240" s="166"/>
      <c r="L240" s="166"/>
      <c r="M240" s="166"/>
      <c r="N240" s="166">
        <v>2400</v>
      </c>
      <c r="O240" s="121"/>
      <c r="P240" s="121"/>
      <c r="Q240" s="65"/>
    </row>
    <row r="241" spans="1:16" ht="23.25" customHeight="1">
      <c r="A241" s="161" t="s">
        <v>105</v>
      </c>
      <c r="B241" s="96">
        <f t="shared" si="12"/>
        <v>723597</v>
      </c>
      <c r="C241" s="166">
        <f t="shared" si="14"/>
        <v>620046</v>
      </c>
      <c r="D241" s="166">
        <f>150479+116567+4286+5238+7379+178273+38158+D242</f>
        <v>501695</v>
      </c>
      <c r="E241" s="166">
        <f>35498+27498+1011+1236+1741+42055+9002+E242</f>
        <v>118351</v>
      </c>
      <c r="F241" s="166">
        <f t="shared" si="17"/>
        <v>100751</v>
      </c>
      <c r="G241" s="166"/>
      <c r="H241" s="166">
        <v>22293</v>
      </c>
      <c r="I241" s="166">
        <f>72941+1153+1077+I242</f>
        <v>78248</v>
      </c>
      <c r="J241" s="166"/>
      <c r="K241" s="166">
        <v>210</v>
      </c>
      <c r="L241" s="166"/>
      <c r="M241" s="166"/>
      <c r="N241" s="166">
        <f>300+N242</f>
        <v>2800</v>
      </c>
      <c r="O241" s="121"/>
      <c r="P241" s="121"/>
    </row>
    <row r="242" spans="1:18" ht="23.25" customHeight="1">
      <c r="A242" s="194" t="s">
        <v>760</v>
      </c>
      <c r="B242" s="96">
        <f t="shared" si="12"/>
        <v>7202</v>
      </c>
      <c r="C242" s="166">
        <f t="shared" si="14"/>
        <v>1625</v>
      </c>
      <c r="D242" s="166">
        <v>1315</v>
      </c>
      <c r="E242" s="166">
        <v>310</v>
      </c>
      <c r="F242" s="166">
        <f t="shared" si="17"/>
        <v>3077</v>
      </c>
      <c r="G242" s="166"/>
      <c r="H242" s="166"/>
      <c r="I242" s="166">
        <v>3077</v>
      </c>
      <c r="J242" s="166"/>
      <c r="K242" s="166"/>
      <c r="L242" s="166"/>
      <c r="M242" s="166"/>
      <c r="N242" s="166">
        <v>2500</v>
      </c>
      <c r="O242" s="121"/>
      <c r="P242" s="121"/>
      <c r="Q242" s="65"/>
      <c r="R242" s="65"/>
    </row>
    <row r="243" spans="1:16" ht="33.75" customHeight="1">
      <c r="A243" s="231" t="s">
        <v>113</v>
      </c>
      <c r="B243" s="96">
        <f>SUM(C243+F243,L243:P243)</f>
        <v>829144</v>
      </c>
      <c r="C243" s="166">
        <f t="shared" si="14"/>
        <v>684757</v>
      </c>
      <c r="D243" s="172">
        <f>219259+88187+2124+8932+206178+28870+D244</f>
        <v>554865</v>
      </c>
      <c r="E243" s="172">
        <f>51723+20803+501+2107+48638+5810+E244</f>
        <v>129892</v>
      </c>
      <c r="F243" s="166">
        <f t="shared" si="17"/>
        <v>141143</v>
      </c>
      <c r="G243" s="172">
        <v>180</v>
      </c>
      <c r="H243" s="172">
        <v>34573</v>
      </c>
      <c r="I243" s="172">
        <f>99303+2712+I244</f>
        <v>106140</v>
      </c>
      <c r="J243" s="172">
        <v>50</v>
      </c>
      <c r="K243" s="172">
        <v>200</v>
      </c>
      <c r="L243" s="172"/>
      <c r="M243" s="172"/>
      <c r="N243" s="172">
        <f>1000+N244</f>
        <v>3244</v>
      </c>
      <c r="O243" s="122"/>
      <c r="P243" s="122"/>
    </row>
    <row r="244" spans="1:18" ht="33.75" customHeight="1">
      <c r="A244" s="194" t="s">
        <v>760</v>
      </c>
      <c r="B244" s="96">
        <f>SUM(C244+F244,L244:P244)</f>
        <v>7994</v>
      </c>
      <c r="C244" s="166">
        <f t="shared" si="14"/>
        <v>1625</v>
      </c>
      <c r="D244" s="172">
        <v>1315</v>
      </c>
      <c r="E244" s="172">
        <v>310</v>
      </c>
      <c r="F244" s="166">
        <f t="shared" si="17"/>
        <v>4125</v>
      </c>
      <c r="G244" s="172"/>
      <c r="H244" s="172"/>
      <c r="I244" s="172">
        <v>4125</v>
      </c>
      <c r="J244" s="172"/>
      <c r="K244" s="172"/>
      <c r="L244" s="172"/>
      <c r="M244" s="172"/>
      <c r="N244" s="172">
        <v>2244</v>
      </c>
      <c r="O244" s="122"/>
      <c r="P244" s="122"/>
      <c r="Q244" s="65"/>
      <c r="R244" s="65"/>
    </row>
    <row r="245" spans="1:16" ht="32.25" customHeight="1">
      <c r="A245" s="161" t="s">
        <v>33</v>
      </c>
      <c r="B245" s="164">
        <f t="shared" si="12"/>
        <v>680680</v>
      </c>
      <c r="C245" s="166">
        <f t="shared" si="14"/>
        <v>634655</v>
      </c>
      <c r="D245" s="166">
        <f>47227+54126+9703+401974</f>
        <v>513030</v>
      </c>
      <c r="E245" s="166">
        <f>11141+12768+601+2289+94826</f>
        <v>121625</v>
      </c>
      <c r="F245" s="166">
        <f t="shared" si="16"/>
        <v>41665</v>
      </c>
      <c r="G245" s="166">
        <v>2140</v>
      </c>
      <c r="H245" s="166">
        <v>23235</v>
      </c>
      <c r="I245" s="166">
        <f>12448+3674</f>
        <v>16122</v>
      </c>
      <c r="J245" s="166"/>
      <c r="K245" s="166">
        <v>168</v>
      </c>
      <c r="L245" s="166"/>
      <c r="M245" s="166"/>
      <c r="N245" s="166">
        <v>4360</v>
      </c>
      <c r="O245" s="121"/>
      <c r="P245" s="121"/>
    </row>
    <row r="246" spans="1:16" ht="37.5" customHeight="1">
      <c r="A246" s="161" t="s">
        <v>34</v>
      </c>
      <c r="B246" s="164">
        <f t="shared" si="12"/>
        <v>257261</v>
      </c>
      <c r="C246" s="166">
        <f t="shared" si="14"/>
        <v>226014</v>
      </c>
      <c r="D246" s="166">
        <f>25275+107813+3105+46573</f>
        <v>182766</v>
      </c>
      <c r="E246" s="166">
        <f>5963+25433+133+733+10986</f>
        <v>43248</v>
      </c>
      <c r="F246" s="166">
        <f>SUM(G246:K246)</f>
        <v>31247</v>
      </c>
      <c r="G246" s="166">
        <v>141</v>
      </c>
      <c r="H246" s="166">
        <v>12786</v>
      </c>
      <c r="I246" s="166">
        <v>18320</v>
      </c>
      <c r="J246" s="166"/>
      <c r="K246" s="166"/>
      <c r="L246" s="166"/>
      <c r="M246" s="166"/>
      <c r="N246" s="166"/>
      <c r="O246" s="121"/>
      <c r="P246" s="121"/>
    </row>
    <row r="247" spans="1:16" ht="24.75" customHeight="1">
      <c r="A247" s="161" t="s">
        <v>35</v>
      </c>
      <c r="B247" s="164">
        <f t="shared" si="12"/>
        <v>662556</v>
      </c>
      <c r="C247" s="174">
        <f t="shared" si="14"/>
        <v>581507</v>
      </c>
      <c r="D247" s="166">
        <f>78132+64932+8535+318255</f>
        <v>469854</v>
      </c>
      <c r="E247" s="166">
        <f>18431+15317+815+2013+75077</f>
        <v>111653</v>
      </c>
      <c r="F247" s="166">
        <f t="shared" si="16"/>
        <v>81049</v>
      </c>
      <c r="G247" s="166">
        <v>8000</v>
      </c>
      <c r="H247" s="166">
        <v>26079</v>
      </c>
      <c r="I247" s="166">
        <v>46370</v>
      </c>
      <c r="J247" s="166"/>
      <c r="K247" s="166">
        <v>600</v>
      </c>
      <c r="L247" s="166"/>
      <c r="M247" s="166"/>
      <c r="N247" s="166"/>
      <c r="O247" s="121"/>
      <c r="P247" s="121"/>
    </row>
    <row r="248" spans="1:16" ht="22.5" customHeight="1">
      <c r="A248" s="161" t="s">
        <v>42</v>
      </c>
      <c r="B248" s="96">
        <f t="shared" si="12"/>
        <v>238748</v>
      </c>
      <c r="C248" s="166">
        <f t="shared" si="14"/>
        <v>107646</v>
      </c>
      <c r="D248" s="166">
        <v>87099</v>
      </c>
      <c r="E248" s="166">
        <v>20547</v>
      </c>
      <c r="F248" s="166">
        <f t="shared" si="18" ref="F248:F264">SUM(G248:K248)</f>
        <v>131102</v>
      </c>
      <c r="G248" s="121"/>
      <c r="H248" s="121">
        <f>121160-6217</f>
        <v>114943</v>
      </c>
      <c r="I248" s="121">
        <v>16159</v>
      </c>
      <c r="J248" s="121"/>
      <c r="K248" s="121"/>
      <c r="L248" s="121"/>
      <c r="M248" s="121"/>
      <c r="N248" s="121"/>
      <c r="O248" s="121"/>
      <c r="P248" s="121"/>
    </row>
    <row r="249" spans="1:16" ht="30" customHeight="1">
      <c r="A249" s="161" t="s">
        <v>171</v>
      </c>
      <c r="B249" s="96">
        <f t="shared" si="12"/>
        <v>185259</v>
      </c>
      <c r="C249" s="166">
        <f t="shared" si="14"/>
        <v>155637</v>
      </c>
      <c r="D249" s="166">
        <f>71412+21732+32679</f>
        <v>125823</v>
      </c>
      <c r="E249" s="166">
        <f>16846+5127+132+7709</f>
        <v>29814</v>
      </c>
      <c r="F249" s="166">
        <f t="shared" si="18"/>
        <v>29622</v>
      </c>
      <c r="G249" s="121">
        <v>200</v>
      </c>
      <c r="H249" s="121">
        <v>19077</v>
      </c>
      <c r="I249" s="121">
        <v>10345</v>
      </c>
      <c r="J249" s="121"/>
      <c r="K249" s="121"/>
      <c r="L249" s="121"/>
      <c r="M249" s="121"/>
      <c r="N249" s="121"/>
      <c r="O249" s="121"/>
      <c r="P249" s="121"/>
    </row>
    <row r="250" spans="1:16" ht="22.5" customHeight="1">
      <c r="A250" s="161" t="s">
        <v>109</v>
      </c>
      <c r="B250" s="96">
        <f t="shared" si="12"/>
        <v>303150</v>
      </c>
      <c r="C250" s="166">
        <f t="shared" si="14"/>
        <v>273169</v>
      </c>
      <c r="D250" s="166">
        <v>221028</v>
      </c>
      <c r="E250" s="166">
        <v>52141</v>
      </c>
      <c r="F250" s="166">
        <f t="shared" si="18"/>
        <v>29981</v>
      </c>
      <c r="G250" s="121">
        <v>518</v>
      </c>
      <c r="H250" s="121">
        <f>3895+H251</f>
        <v>25005</v>
      </c>
      <c r="I250" s="121">
        <v>4308</v>
      </c>
      <c r="J250" s="121"/>
      <c r="K250" s="121">
        <v>150</v>
      </c>
      <c r="L250" s="121"/>
      <c r="M250" s="121"/>
      <c r="N250" s="121"/>
      <c r="O250" s="121"/>
      <c r="P250" s="121"/>
    </row>
    <row r="251" spans="1:16" ht="22.5" customHeight="1">
      <c r="A251" s="191" t="s">
        <v>760</v>
      </c>
      <c r="B251" s="96">
        <f t="shared" si="12"/>
        <v>21110</v>
      </c>
      <c r="C251" s="166">
        <f t="shared" si="14"/>
        <v>0</v>
      </c>
      <c r="D251" s="166"/>
      <c r="E251" s="166"/>
      <c r="F251" s="166">
        <f t="shared" si="18"/>
        <v>21110</v>
      </c>
      <c r="G251" s="121"/>
      <c r="H251" s="121">
        <v>21110</v>
      </c>
      <c r="I251" s="121"/>
      <c r="J251" s="121"/>
      <c r="K251" s="121"/>
      <c r="L251" s="121"/>
      <c r="M251" s="121"/>
      <c r="N251" s="121"/>
      <c r="O251" s="121"/>
      <c r="P251" s="121"/>
    </row>
    <row r="252" spans="1:16" ht="21" customHeight="1">
      <c r="A252" s="161" t="s">
        <v>115</v>
      </c>
      <c r="B252" s="96">
        <f t="shared" si="19" ref="B252:B318">SUM(C252+F252,L252:P252)</f>
        <v>52776</v>
      </c>
      <c r="C252" s="166">
        <f t="shared" si="14"/>
        <v>8700</v>
      </c>
      <c r="D252" s="166">
        <v>8700</v>
      </c>
      <c r="E252" s="178"/>
      <c r="F252" s="166">
        <f t="shared" si="18"/>
        <v>35076</v>
      </c>
      <c r="G252" s="121">
        <v>1231</v>
      </c>
      <c r="H252" s="121">
        <v>4105</v>
      </c>
      <c r="I252" s="121">
        <v>29740</v>
      </c>
      <c r="J252" s="121"/>
      <c r="K252" s="121"/>
      <c r="L252" s="121"/>
      <c r="M252" s="121"/>
      <c r="N252" s="121"/>
      <c r="O252" s="121">
        <v>9000</v>
      </c>
      <c r="P252" s="121"/>
    </row>
    <row r="253" spans="1:16" ht="22.5" customHeight="1">
      <c r="A253" s="160" t="s">
        <v>50</v>
      </c>
      <c r="B253" s="96">
        <f t="shared" si="19"/>
        <v>35619</v>
      </c>
      <c r="C253" s="166">
        <f t="shared" si="14"/>
        <v>0</v>
      </c>
      <c r="D253" s="166"/>
      <c r="E253" s="166"/>
      <c r="F253" s="166">
        <f>SUM(G253:K253)</f>
        <v>35619</v>
      </c>
      <c r="G253" s="121"/>
      <c r="H253" s="121">
        <v>35619</v>
      </c>
      <c r="I253" s="121"/>
      <c r="J253" s="121"/>
      <c r="K253" s="121"/>
      <c r="L253" s="121"/>
      <c r="M253" s="121"/>
      <c r="N253" s="121"/>
      <c r="O253" s="121"/>
      <c r="P253" s="121"/>
    </row>
    <row r="254" spans="1:16" ht="30" customHeight="1">
      <c r="A254" s="97" t="s">
        <v>147</v>
      </c>
      <c r="B254" s="96">
        <f t="shared" si="19"/>
        <v>21214</v>
      </c>
      <c r="C254" s="166">
        <f t="shared" si="14"/>
        <v>7617</v>
      </c>
      <c r="D254" s="166">
        <v>6163</v>
      </c>
      <c r="E254" s="166">
        <v>1454</v>
      </c>
      <c r="F254" s="166">
        <f t="shared" si="18"/>
        <v>13597</v>
      </c>
      <c r="G254" s="121">
        <v>80</v>
      </c>
      <c r="H254" s="121">
        <v>6807</v>
      </c>
      <c r="I254" s="121">
        <v>6410</v>
      </c>
      <c r="J254" s="121"/>
      <c r="K254" s="121">
        <v>300</v>
      </c>
      <c r="L254" s="121"/>
      <c r="M254" s="121"/>
      <c r="N254" s="121"/>
      <c r="O254" s="121"/>
      <c r="P254" s="93"/>
    </row>
    <row r="255" spans="1:16" ht="30" customHeight="1">
      <c r="A255" s="97" t="s">
        <v>133</v>
      </c>
      <c r="B255" s="96">
        <f t="shared" si="19"/>
        <v>21371</v>
      </c>
      <c r="C255" s="166">
        <f t="shared" si="14"/>
        <v>14313</v>
      </c>
      <c r="D255" s="166">
        <v>11604</v>
      </c>
      <c r="E255" s="166">
        <v>2709</v>
      </c>
      <c r="F255" s="166">
        <f t="shared" si="18"/>
        <v>7058</v>
      </c>
      <c r="G255" s="121">
        <v>100</v>
      </c>
      <c r="H255" s="121">
        <f>3880+H256</f>
        <v>4330</v>
      </c>
      <c r="I255" s="121">
        <f>2958+I256</f>
        <v>2508</v>
      </c>
      <c r="J255" s="121"/>
      <c r="K255" s="121">
        <v>120</v>
      </c>
      <c r="L255" s="121"/>
      <c r="M255" s="121"/>
      <c r="N255" s="121"/>
      <c r="O255" s="121"/>
      <c r="P255" s="121"/>
    </row>
    <row r="256" spans="1:16" ht="30" customHeight="1">
      <c r="A256" s="191" t="s">
        <v>760</v>
      </c>
      <c r="B256" s="96">
        <f t="shared" si="19"/>
        <v>0</v>
      </c>
      <c r="C256" s="166">
        <f t="shared" si="14"/>
        <v>0</v>
      </c>
      <c r="D256" s="166"/>
      <c r="E256" s="166"/>
      <c r="F256" s="166">
        <f t="shared" si="18"/>
        <v>0</v>
      </c>
      <c r="G256" s="121"/>
      <c r="H256" s="121">
        <v>450</v>
      </c>
      <c r="I256" s="121">
        <v>-450</v>
      </c>
      <c r="J256" s="121"/>
      <c r="K256" s="121"/>
      <c r="L256" s="121"/>
      <c r="M256" s="121"/>
      <c r="N256" s="121"/>
      <c r="O256" s="121"/>
      <c r="P256" s="121"/>
    </row>
    <row r="257" spans="1:16" ht="30" customHeight="1">
      <c r="A257" s="97" t="s">
        <v>134</v>
      </c>
      <c r="B257" s="96">
        <f t="shared" si="19"/>
        <v>25024</v>
      </c>
      <c r="C257" s="166">
        <f t="shared" si="20" ref="C257:C309">D257+E257</f>
        <v>14694</v>
      </c>
      <c r="D257" s="166">
        <v>11908</v>
      </c>
      <c r="E257" s="166">
        <v>2786</v>
      </c>
      <c r="F257" s="166">
        <f>SUM(G257:K257)</f>
        <v>10330</v>
      </c>
      <c r="G257" s="121">
        <v>100</v>
      </c>
      <c r="H257" s="121">
        <v>5160</v>
      </c>
      <c r="I257" s="121">
        <v>4950</v>
      </c>
      <c r="J257" s="121"/>
      <c r="K257" s="121">
        <v>120</v>
      </c>
      <c r="L257" s="121"/>
      <c r="M257" s="121"/>
      <c r="N257" s="121"/>
      <c r="O257" s="121"/>
      <c r="P257" s="121"/>
    </row>
    <row r="258" spans="1:16" ht="30" customHeight="1">
      <c r="A258" s="97" t="s">
        <v>130</v>
      </c>
      <c r="B258" s="96">
        <f t="shared" si="19"/>
        <v>24346</v>
      </c>
      <c r="C258" s="166">
        <f t="shared" si="20"/>
        <v>12945</v>
      </c>
      <c r="D258" s="166">
        <v>10522</v>
      </c>
      <c r="E258" s="166">
        <v>2423</v>
      </c>
      <c r="F258" s="166">
        <f t="shared" si="18"/>
        <v>11401</v>
      </c>
      <c r="G258" s="121">
        <v>100</v>
      </c>
      <c r="H258" s="121">
        <v>3660</v>
      </c>
      <c r="I258" s="121">
        <v>7531</v>
      </c>
      <c r="J258" s="121"/>
      <c r="K258" s="121">
        <v>110</v>
      </c>
      <c r="L258" s="121"/>
      <c r="M258" s="121"/>
      <c r="N258" s="121"/>
      <c r="O258" s="121"/>
      <c r="P258" s="121"/>
    </row>
    <row r="259" spans="1:16" ht="30" customHeight="1">
      <c r="A259" s="97" t="s">
        <v>150</v>
      </c>
      <c r="B259" s="96">
        <f t="shared" si="19"/>
        <v>31832</v>
      </c>
      <c r="C259" s="166">
        <f t="shared" si="20"/>
        <v>20304</v>
      </c>
      <c r="D259" s="166">
        <v>16428</v>
      </c>
      <c r="E259" s="166">
        <v>3876</v>
      </c>
      <c r="F259" s="166">
        <f t="shared" si="18"/>
        <v>11528</v>
      </c>
      <c r="G259" s="121">
        <v>120</v>
      </c>
      <c r="H259" s="121">
        <v>2748</v>
      </c>
      <c r="I259" s="121">
        <v>8540</v>
      </c>
      <c r="J259" s="121"/>
      <c r="K259" s="121">
        <v>120</v>
      </c>
      <c r="L259" s="121"/>
      <c r="M259" s="121"/>
      <c r="N259" s="121"/>
      <c r="O259" s="121"/>
      <c r="P259" s="121"/>
    </row>
    <row r="260" spans="1:16" ht="30" customHeight="1">
      <c r="A260" s="97" t="s">
        <v>132</v>
      </c>
      <c r="B260" s="96">
        <f t="shared" si="19"/>
        <v>21600</v>
      </c>
      <c r="C260" s="166">
        <f t="shared" si="20"/>
        <v>12117</v>
      </c>
      <c r="D260" s="166">
        <v>9804</v>
      </c>
      <c r="E260" s="166">
        <v>2313</v>
      </c>
      <c r="F260" s="166">
        <f t="shared" si="18"/>
        <v>9483</v>
      </c>
      <c r="G260" s="121">
        <v>180</v>
      </c>
      <c r="H260" s="121">
        <v>5083</v>
      </c>
      <c r="I260" s="121">
        <v>4100</v>
      </c>
      <c r="J260" s="121"/>
      <c r="K260" s="121">
        <v>120</v>
      </c>
      <c r="L260" s="121"/>
      <c r="M260" s="124"/>
      <c r="N260" s="121"/>
      <c r="O260" s="121"/>
      <c r="P260" s="121"/>
    </row>
    <row r="261" spans="1:16" ht="30" customHeight="1">
      <c r="A261" s="157" t="s">
        <v>140</v>
      </c>
      <c r="B261" s="96">
        <f t="shared" si="19"/>
        <v>98061</v>
      </c>
      <c r="C261" s="166">
        <f t="shared" si="20"/>
        <v>50471</v>
      </c>
      <c r="D261" s="173">
        <v>40624</v>
      </c>
      <c r="E261" s="175">
        <v>9847</v>
      </c>
      <c r="F261" s="177">
        <f t="shared" si="18"/>
        <v>47590</v>
      </c>
      <c r="G261" s="124">
        <v>240</v>
      </c>
      <c r="H261" s="124">
        <v>13650</v>
      </c>
      <c r="I261" s="124">
        <v>33200</v>
      </c>
      <c r="J261" s="124"/>
      <c r="K261" s="124">
        <v>500</v>
      </c>
      <c r="L261" s="124"/>
      <c r="M261" s="122"/>
      <c r="N261" s="124"/>
      <c r="O261" s="124"/>
      <c r="P261" s="124"/>
    </row>
    <row r="262" spans="1:16" ht="30" customHeight="1">
      <c r="A262" s="97" t="s">
        <v>104</v>
      </c>
      <c r="B262" s="96">
        <f t="shared" si="19"/>
        <v>64390</v>
      </c>
      <c r="C262" s="166">
        <f t="shared" si="20"/>
        <v>31671</v>
      </c>
      <c r="D262" s="166">
        <v>25626</v>
      </c>
      <c r="E262" s="166">
        <v>6045</v>
      </c>
      <c r="F262" s="166">
        <f>SUM(G262:K262)</f>
        <v>32719</v>
      </c>
      <c r="G262" s="121">
        <v>40</v>
      </c>
      <c r="H262" s="121">
        <v>14235</v>
      </c>
      <c r="I262" s="121">
        <v>18118</v>
      </c>
      <c r="J262" s="121"/>
      <c r="K262" s="121">
        <v>326</v>
      </c>
      <c r="L262" s="121"/>
      <c r="M262" s="121"/>
      <c r="N262" s="121"/>
      <c r="O262" s="121"/>
      <c r="P262" s="121"/>
    </row>
    <row r="263" spans="1:16" ht="20.25" customHeight="1">
      <c r="A263" s="97" t="s">
        <v>151</v>
      </c>
      <c r="B263" s="96">
        <f t="shared" si="19"/>
        <v>35580</v>
      </c>
      <c r="C263" s="166">
        <f t="shared" si="20"/>
        <v>23084</v>
      </c>
      <c r="D263" s="166">
        <v>18678</v>
      </c>
      <c r="E263" s="166">
        <v>4406</v>
      </c>
      <c r="F263" s="166">
        <f t="shared" si="18"/>
        <v>12496</v>
      </c>
      <c r="G263" s="121"/>
      <c r="H263" s="121">
        <v>6301</v>
      </c>
      <c r="I263" s="121">
        <v>5795</v>
      </c>
      <c r="J263" s="121"/>
      <c r="K263" s="121">
        <v>400</v>
      </c>
      <c r="L263" s="121"/>
      <c r="M263" s="121"/>
      <c r="N263" s="121">
        <v>0</v>
      </c>
      <c r="O263" s="121"/>
      <c r="P263" s="121"/>
    </row>
    <row r="264" spans="1:16" ht="30" customHeight="1">
      <c r="A264" s="97" t="s">
        <v>146</v>
      </c>
      <c r="B264" s="96">
        <f t="shared" si="19"/>
        <v>23419</v>
      </c>
      <c r="C264" s="166">
        <f t="shared" si="20"/>
        <v>12695</v>
      </c>
      <c r="D264" s="166">
        <v>10272</v>
      </c>
      <c r="E264" s="166">
        <v>2423</v>
      </c>
      <c r="F264" s="166">
        <f t="shared" si="18"/>
        <v>10724</v>
      </c>
      <c r="G264" s="121">
        <v>60</v>
      </c>
      <c r="H264" s="121">
        <v>5180</v>
      </c>
      <c r="I264" s="121">
        <v>5080</v>
      </c>
      <c r="J264" s="121"/>
      <c r="K264" s="121">
        <v>404</v>
      </c>
      <c r="L264" s="121"/>
      <c r="M264" s="121"/>
      <c r="N264" s="121"/>
      <c r="O264" s="121"/>
      <c r="P264" s="121"/>
    </row>
    <row r="265" spans="1:16" ht="19.5" customHeight="1">
      <c r="A265" s="97" t="s">
        <v>148</v>
      </c>
      <c r="B265" s="96">
        <f t="shared" si="19"/>
        <v>37258</v>
      </c>
      <c r="C265" s="166">
        <f t="shared" si="20"/>
        <v>24160</v>
      </c>
      <c r="D265" s="166">
        <v>19548</v>
      </c>
      <c r="E265" s="166">
        <v>4612</v>
      </c>
      <c r="F265" s="166">
        <f>SUM(G265:K265)</f>
        <v>13098</v>
      </c>
      <c r="G265" s="121"/>
      <c r="H265" s="121">
        <f>6036+1192</f>
        <v>7228</v>
      </c>
      <c r="I265" s="121">
        <f>3950+1350</f>
        <v>5300</v>
      </c>
      <c r="J265" s="121"/>
      <c r="K265" s="121">
        <f>400+170</f>
        <v>570</v>
      </c>
      <c r="L265" s="121"/>
      <c r="M265" s="121"/>
      <c r="N265" s="121"/>
      <c r="O265" s="121"/>
      <c r="P265" s="121"/>
    </row>
    <row r="266" spans="1:16" ht="30" customHeight="1">
      <c r="A266" s="161" t="s">
        <v>139</v>
      </c>
      <c r="B266" s="96">
        <f t="shared" si="19"/>
        <v>28528</v>
      </c>
      <c r="C266" s="166">
        <f t="shared" si="20"/>
        <v>13160</v>
      </c>
      <c r="D266" s="166">
        <v>10648</v>
      </c>
      <c r="E266" s="166">
        <v>2512</v>
      </c>
      <c r="F266" s="166">
        <f t="shared" si="21" ref="F266:F291">SUM(G266:K266)</f>
        <v>15368</v>
      </c>
      <c r="G266" s="121">
        <v>104</v>
      </c>
      <c r="H266" s="121">
        <v>3850</v>
      </c>
      <c r="I266" s="121">
        <v>11214</v>
      </c>
      <c r="J266" s="121"/>
      <c r="K266" s="121">
        <v>200</v>
      </c>
      <c r="L266" s="121"/>
      <c r="M266" s="121"/>
      <c r="N266" s="121">
        <v>0</v>
      </c>
      <c r="O266" s="121"/>
      <c r="P266" s="121"/>
    </row>
    <row r="267" spans="1:16" ht="30" customHeight="1">
      <c r="A267" s="161" t="s">
        <v>36</v>
      </c>
      <c r="B267" s="96">
        <f t="shared" si="19"/>
        <v>6000</v>
      </c>
      <c r="C267" s="166">
        <f t="shared" si="20"/>
        <v>0</v>
      </c>
      <c r="D267" s="166"/>
      <c r="E267" s="166"/>
      <c r="F267" s="166">
        <f t="shared" si="21"/>
        <v>0</v>
      </c>
      <c r="G267" s="121"/>
      <c r="H267" s="121"/>
      <c r="I267" s="121"/>
      <c r="J267" s="121"/>
      <c r="K267" s="121"/>
      <c r="L267" s="121"/>
      <c r="M267" s="121"/>
      <c r="N267" s="121">
        <v>0</v>
      </c>
      <c r="O267" s="121">
        <v>6000</v>
      </c>
      <c r="P267" s="121"/>
    </row>
    <row r="268" spans="1:16" ht="37.5" customHeight="1">
      <c r="A268" s="161" t="s">
        <v>64</v>
      </c>
      <c r="B268" s="96">
        <f t="shared" si="19"/>
        <v>100000</v>
      </c>
      <c r="C268" s="166">
        <f t="shared" si="20"/>
        <v>0</v>
      </c>
      <c r="D268" s="166"/>
      <c r="E268" s="166"/>
      <c r="F268" s="166">
        <f t="shared" si="21"/>
        <v>0</v>
      </c>
      <c r="G268" s="121"/>
      <c r="H268" s="121"/>
      <c r="I268" s="121"/>
      <c r="J268" s="121"/>
      <c r="K268" s="121"/>
      <c r="L268" s="121"/>
      <c r="M268" s="121"/>
      <c r="N268" s="121"/>
      <c r="O268" s="121"/>
      <c r="P268" s="121">
        <v>100000</v>
      </c>
    </row>
    <row r="269" spans="1:16" ht="37.5" customHeight="1">
      <c r="A269" s="161" t="s">
        <v>708</v>
      </c>
      <c r="B269" s="96">
        <f t="shared" si="19"/>
        <v>44879</v>
      </c>
      <c r="C269" s="166">
        <f t="shared" si="20"/>
        <v>0</v>
      </c>
      <c r="D269" s="166"/>
      <c r="E269" s="166"/>
      <c r="F269" s="166">
        <f t="shared" si="21"/>
        <v>44879</v>
      </c>
      <c r="G269" s="121">
        <v>5088</v>
      </c>
      <c r="H269" s="121">
        <f>9470+2145</f>
        <v>11615</v>
      </c>
      <c r="I269" s="121">
        <f>22400+3726+2050</f>
        <v>28176</v>
      </c>
      <c r="J269" s="121"/>
      <c r="K269" s="121"/>
      <c r="L269" s="121"/>
      <c r="M269" s="121"/>
      <c r="N269" s="121"/>
      <c r="O269" s="121"/>
      <c r="P269" s="121"/>
    </row>
    <row r="270" spans="1:16" ht="35.25" customHeight="1">
      <c r="A270" s="161" t="s">
        <v>47</v>
      </c>
      <c r="B270" s="96">
        <f t="shared" si="19"/>
        <v>663</v>
      </c>
      <c r="C270" s="166">
        <f t="shared" si="20"/>
        <v>0</v>
      </c>
      <c r="D270" s="166"/>
      <c r="E270" s="166"/>
      <c r="F270" s="166">
        <f t="shared" si="21"/>
        <v>663</v>
      </c>
      <c r="G270" s="121"/>
      <c r="H270" s="121"/>
      <c r="I270" s="121">
        <v>663</v>
      </c>
      <c r="J270" s="121"/>
      <c r="K270" s="121"/>
      <c r="L270" s="121"/>
      <c r="M270" s="121"/>
      <c r="N270" s="121"/>
      <c r="O270" s="121"/>
      <c r="P270" s="121"/>
    </row>
    <row r="271" spans="1:16" ht="38.25" customHeight="1">
      <c r="A271" s="161" t="s">
        <v>164</v>
      </c>
      <c r="B271" s="96">
        <f t="shared" si="19"/>
        <v>8825</v>
      </c>
      <c r="C271" s="166">
        <f t="shared" si="20"/>
        <v>7415</v>
      </c>
      <c r="D271" s="166">
        <v>6000</v>
      </c>
      <c r="E271" s="166">
        <v>1415</v>
      </c>
      <c r="F271" s="166">
        <f t="shared" si="21"/>
        <v>1410</v>
      </c>
      <c r="G271" s="121"/>
      <c r="H271" s="121"/>
      <c r="I271" s="121">
        <v>1410</v>
      </c>
      <c r="J271" s="121"/>
      <c r="K271" s="121"/>
      <c r="L271" s="121"/>
      <c r="M271" s="121"/>
      <c r="N271" s="121"/>
      <c r="O271" s="121"/>
      <c r="P271" s="121"/>
    </row>
    <row r="272" spans="1:16" ht="32.25" customHeight="1">
      <c r="A272" s="161" t="s">
        <v>106</v>
      </c>
      <c r="B272" s="96">
        <f t="shared" si="19"/>
        <v>26933</v>
      </c>
      <c r="C272" s="166">
        <f t="shared" si="20"/>
        <v>6180</v>
      </c>
      <c r="D272" s="166">
        <v>5000</v>
      </c>
      <c r="E272" s="166">
        <v>1180</v>
      </c>
      <c r="F272" s="166">
        <f t="shared" si="21"/>
        <v>20753</v>
      </c>
      <c r="G272" s="121"/>
      <c r="H272" s="121"/>
      <c r="I272" s="121">
        <v>20753</v>
      </c>
      <c r="J272" s="121"/>
      <c r="K272" s="121"/>
      <c r="L272" s="121"/>
      <c r="M272" s="123"/>
      <c r="N272" s="121"/>
      <c r="O272" s="121"/>
      <c r="P272" s="121"/>
    </row>
    <row r="273" spans="1:16" ht="52.9" customHeight="1">
      <c r="A273" s="161" t="s">
        <v>182</v>
      </c>
      <c r="B273" s="96">
        <f t="shared" si="19"/>
        <v>476</v>
      </c>
      <c r="C273" s="166">
        <f t="shared" si="20"/>
        <v>476</v>
      </c>
      <c r="D273" s="166">
        <v>476</v>
      </c>
      <c r="E273" s="166"/>
      <c r="F273" s="166">
        <f t="shared" si="21"/>
        <v>0</v>
      </c>
      <c r="G273" s="121"/>
      <c r="H273" s="121"/>
      <c r="I273" s="121"/>
      <c r="J273" s="121"/>
      <c r="K273" s="121"/>
      <c r="L273" s="121"/>
      <c r="M273" s="121"/>
      <c r="N273" s="121"/>
      <c r="O273" s="121"/>
      <c r="P273" s="121"/>
    </row>
    <row r="274" spans="1:16" ht="65.25" customHeight="1">
      <c r="A274" s="161" t="s">
        <v>722</v>
      </c>
      <c r="B274" s="96">
        <f t="shared" si="19"/>
        <v>54065</v>
      </c>
      <c r="C274" s="166">
        <f t="shared" si="20"/>
        <v>0</v>
      </c>
      <c r="D274" s="166"/>
      <c r="E274" s="166"/>
      <c r="F274" s="166">
        <f t="shared" si="21"/>
        <v>54065</v>
      </c>
      <c r="G274" s="121">
        <v>46551</v>
      </c>
      <c r="H274" s="121">
        <v>7514</v>
      </c>
      <c r="I274" s="121"/>
      <c r="J274" s="121"/>
      <c r="K274" s="121"/>
      <c r="L274" s="121"/>
      <c r="M274" s="121"/>
      <c r="N274" s="121"/>
      <c r="O274" s="121"/>
      <c r="P274" s="121"/>
    </row>
    <row r="275" spans="1:16" ht="33.75" customHeight="1">
      <c r="A275" s="97" t="s">
        <v>716</v>
      </c>
      <c r="B275" s="96">
        <f t="shared" si="19"/>
        <v>8017</v>
      </c>
      <c r="C275" s="166">
        <f t="shared" si="20"/>
        <v>0</v>
      </c>
      <c r="D275" s="166"/>
      <c r="E275" s="166"/>
      <c r="F275" s="166">
        <f t="shared" si="21"/>
        <v>8017</v>
      </c>
      <c r="G275" s="121"/>
      <c r="H275" s="121">
        <v>8017</v>
      </c>
      <c r="I275" s="121"/>
      <c r="J275" s="121"/>
      <c r="K275" s="121"/>
      <c r="L275" s="121"/>
      <c r="M275" s="121"/>
      <c r="N275" s="121"/>
      <c r="O275" s="121"/>
      <c r="P275" s="121"/>
    </row>
    <row r="276" spans="1:16" ht="99.75" customHeight="1">
      <c r="A276" s="161" t="s">
        <v>718</v>
      </c>
      <c r="B276" s="96">
        <f t="shared" si="19"/>
        <v>25362</v>
      </c>
      <c r="C276" s="166">
        <f t="shared" si="20"/>
        <v>0</v>
      </c>
      <c r="D276" s="166"/>
      <c r="E276" s="166"/>
      <c r="F276" s="166">
        <f t="shared" si="21"/>
        <v>0</v>
      </c>
      <c r="G276" s="121"/>
      <c r="H276" s="121"/>
      <c r="I276" s="121"/>
      <c r="J276" s="121"/>
      <c r="K276" s="121"/>
      <c r="L276" s="121">
        <f>45600+L277</f>
        <v>25362</v>
      </c>
      <c r="M276" s="121"/>
      <c r="N276" s="121"/>
      <c r="O276" s="121"/>
      <c r="P276" s="121"/>
    </row>
    <row r="277" spans="1:16" ht="26.25" customHeight="1">
      <c r="A277" s="191" t="s">
        <v>760</v>
      </c>
      <c r="B277" s="96">
        <f t="shared" si="19"/>
        <v>-20238</v>
      </c>
      <c r="C277" s="166">
        <f t="shared" si="20"/>
        <v>0</v>
      </c>
      <c r="D277" s="166"/>
      <c r="E277" s="166"/>
      <c r="F277" s="166">
        <f t="shared" si="21"/>
        <v>0</v>
      </c>
      <c r="G277" s="121"/>
      <c r="H277" s="121"/>
      <c r="I277" s="121"/>
      <c r="J277" s="121"/>
      <c r="K277" s="121"/>
      <c r="L277" s="121">
        <f>-1625+(-8884)+(-9729)</f>
        <v>-20238</v>
      </c>
      <c r="M277" s="121"/>
      <c r="N277" s="121"/>
      <c r="O277" s="121"/>
      <c r="P277" s="121"/>
    </row>
    <row r="278" spans="1:16" ht="39" customHeight="1">
      <c r="A278" s="161" t="s">
        <v>720</v>
      </c>
      <c r="B278" s="96">
        <f t="shared" si="19"/>
        <v>78870</v>
      </c>
      <c r="C278" s="166">
        <f t="shared" si="20"/>
        <v>78870</v>
      </c>
      <c r="D278" s="166">
        <v>78870</v>
      </c>
      <c r="E278" s="166"/>
      <c r="F278" s="166">
        <f t="shared" si="21"/>
        <v>0</v>
      </c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</row>
    <row r="279" spans="1:16" ht="18.6" customHeight="1">
      <c r="A279" s="161" t="s">
        <v>38</v>
      </c>
      <c r="B279" s="96">
        <f t="shared" si="19"/>
        <v>251064</v>
      </c>
      <c r="C279" s="166">
        <f t="shared" si="20"/>
        <v>228394</v>
      </c>
      <c r="D279" s="166">
        <v>184800</v>
      </c>
      <c r="E279" s="166">
        <v>43594</v>
      </c>
      <c r="F279" s="166">
        <f t="shared" si="21"/>
        <v>22670</v>
      </c>
      <c r="G279" s="121">
        <v>350</v>
      </c>
      <c r="H279" s="121">
        <v>12270</v>
      </c>
      <c r="I279" s="121">
        <v>10050</v>
      </c>
      <c r="J279" s="121"/>
      <c r="K279" s="121"/>
      <c r="L279" s="121"/>
      <c r="M279" s="121"/>
      <c r="N279" s="121"/>
      <c r="O279" s="121"/>
      <c r="P279" s="121"/>
    </row>
    <row r="280" spans="1:16" ht="22.9" customHeight="1">
      <c r="A280" s="161" t="s">
        <v>123</v>
      </c>
      <c r="B280" s="96">
        <f t="shared" si="19"/>
        <v>700714</v>
      </c>
      <c r="C280" s="166">
        <f t="shared" si="20"/>
        <v>604045</v>
      </c>
      <c r="D280" s="166">
        <v>479900</v>
      </c>
      <c r="E280" s="166">
        <v>124145</v>
      </c>
      <c r="F280" s="166">
        <f t="shared" si="21"/>
        <v>64761</v>
      </c>
      <c r="G280" s="121">
        <v>400</v>
      </c>
      <c r="H280" s="121">
        <v>44039</v>
      </c>
      <c r="I280" s="121">
        <v>19822</v>
      </c>
      <c r="J280" s="121"/>
      <c r="K280" s="121">
        <v>500</v>
      </c>
      <c r="L280" s="121"/>
      <c r="M280" s="121"/>
      <c r="N280" s="121">
        <v>31908</v>
      </c>
      <c r="O280" s="121"/>
      <c r="P280" s="121"/>
    </row>
    <row r="281" spans="1:16" ht="18" customHeight="1">
      <c r="A281" s="161" t="s">
        <v>172</v>
      </c>
      <c r="B281" s="96">
        <f t="shared" si="19"/>
        <v>1303047</v>
      </c>
      <c r="C281" s="166">
        <f t="shared" si="20"/>
        <v>0</v>
      </c>
      <c r="D281" s="166"/>
      <c r="E281" s="166"/>
      <c r="F281" s="166">
        <f t="shared" si="21"/>
        <v>0</v>
      </c>
      <c r="G281" s="121"/>
      <c r="H281" s="121"/>
      <c r="I281" s="121"/>
      <c r="J281" s="121"/>
      <c r="K281" s="121"/>
      <c r="L281" s="121"/>
      <c r="M281" s="121"/>
      <c r="N281" s="121"/>
      <c r="O281" s="121">
        <v>1303047</v>
      </c>
      <c r="P281" s="121"/>
    </row>
    <row r="282" spans="1:16" ht="21" customHeight="1">
      <c r="A282" s="161" t="s">
        <v>119</v>
      </c>
      <c r="B282" s="96">
        <f t="shared" si="19"/>
        <v>19690</v>
      </c>
      <c r="C282" s="166">
        <f t="shared" si="20"/>
        <v>0</v>
      </c>
      <c r="D282" s="166"/>
      <c r="E282" s="166"/>
      <c r="F282" s="166">
        <f t="shared" si="21"/>
        <v>0</v>
      </c>
      <c r="G282" s="121"/>
      <c r="H282" s="121"/>
      <c r="I282" s="121"/>
      <c r="J282" s="121"/>
      <c r="K282" s="121"/>
      <c r="L282" s="121"/>
      <c r="M282" s="121"/>
      <c r="N282" s="121"/>
      <c r="O282" s="121">
        <v>19690</v>
      </c>
      <c r="P282" s="121"/>
    </row>
    <row r="283" spans="1:16" ht="19.9" customHeight="1">
      <c r="A283" s="161" t="s">
        <v>39</v>
      </c>
      <c r="B283" s="96">
        <f t="shared" si="19"/>
        <v>22149</v>
      </c>
      <c r="C283" s="166">
        <f t="shared" si="20"/>
        <v>0</v>
      </c>
      <c r="D283" s="166"/>
      <c r="E283" s="166"/>
      <c r="F283" s="166">
        <f t="shared" si="21"/>
        <v>22149</v>
      </c>
      <c r="G283" s="121"/>
      <c r="H283" s="121">
        <v>19129</v>
      </c>
      <c r="I283" s="121">
        <v>3020</v>
      </c>
      <c r="J283" s="121"/>
      <c r="K283" s="121"/>
      <c r="L283" s="121"/>
      <c r="M283" s="121"/>
      <c r="N283" s="121"/>
      <c r="O283" s="121"/>
      <c r="P283" s="121"/>
    </row>
    <row r="284" spans="1:16" ht="24" customHeight="1">
      <c r="A284" s="161" t="s">
        <v>49</v>
      </c>
      <c r="B284" s="96">
        <f t="shared" si="19"/>
        <v>323666</v>
      </c>
      <c r="C284" s="166">
        <f t="shared" si="20"/>
        <v>90411</v>
      </c>
      <c r="D284" s="166">
        <v>73121</v>
      </c>
      <c r="E284" s="166">
        <v>17290</v>
      </c>
      <c r="F284" s="166">
        <f t="shared" si="21"/>
        <v>79878</v>
      </c>
      <c r="G284" s="121"/>
      <c r="H284" s="121">
        <v>78438</v>
      </c>
      <c r="I284" s="121">
        <v>1440</v>
      </c>
      <c r="J284" s="121"/>
      <c r="K284" s="121"/>
      <c r="L284" s="121"/>
      <c r="M284" s="121"/>
      <c r="N284" s="121">
        <v>0</v>
      </c>
      <c r="O284" s="121">
        <v>153377</v>
      </c>
      <c r="P284" s="121"/>
    </row>
    <row r="285" spans="1:16" ht="23.45" customHeight="1">
      <c r="A285" s="161" t="s">
        <v>37</v>
      </c>
      <c r="B285" s="96">
        <f t="shared" si="19"/>
        <v>1817804</v>
      </c>
      <c r="C285" s="166">
        <f t="shared" si="20"/>
        <v>1047430</v>
      </c>
      <c r="D285" s="166">
        <v>847504</v>
      </c>
      <c r="E285" s="166">
        <v>199926</v>
      </c>
      <c r="F285" s="166">
        <f t="shared" si="21"/>
        <v>768074</v>
      </c>
      <c r="G285" s="121">
        <v>300</v>
      </c>
      <c r="H285" s="121">
        <f>116692-2900</f>
        <v>113792</v>
      </c>
      <c r="I285" s="121">
        <f>656790-4468</f>
        <v>652322</v>
      </c>
      <c r="J285" s="121">
        <v>660</v>
      </c>
      <c r="K285" s="121">
        <v>1000</v>
      </c>
      <c r="L285" s="121"/>
      <c r="M285" s="121"/>
      <c r="N285" s="121">
        <v>0</v>
      </c>
      <c r="O285" s="121">
        <v>2300</v>
      </c>
      <c r="P285" s="121"/>
    </row>
    <row r="286" spans="1:16" ht="28.15" customHeight="1">
      <c r="A286" s="161" t="s">
        <v>79</v>
      </c>
      <c r="B286" s="96">
        <f t="shared" si="19"/>
        <v>348217</v>
      </c>
      <c r="C286" s="166">
        <f t="shared" si="20"/>
        <v>239119</v>
      </c>
      <c r="D286" s="166">
        <v>193478</v>
      </c>
      <c r="E286" s="166">
        <v>45641</v>
      </c>
      <c r="F286" s="166">
        <f t="shared" si="21"/>
        <v>109098</v>
      </c>
      <c r="G286" s="121">
        <f>730-450</f>
        <v>280</v>
      </c>
      <c r="H286" s="121">
        <v>16016</v>
      </c>
      <c r="I286" s="121">
        <v>92602</v>
      </c>
      <c r="J286" s="121"/>
      <c r="K286" s="121">
        <v>200</v>
      </c>
      <c r="L286" s="121"/>
      <c r="M286" s="121"/>
      <c r="N286" s="121"/>
      <c r="O286" s="121"/>
      <c r="P286" s="121"/>
    </row>
    <row r="287" spans="1:16" ht="23.45" customHeight="1">
      <c r="A287" s="161" t="s">
        <v>81</v>
      </c>
      <c r="B287" s="96">
        <f t="shared" si="19"/>
        <v>229815</v>
      </c>
      <c r="C287" s="166">
        <f t="shared" si="20"/>
        <v>150587</v>
      </c>
      <c r="D287" s="166">
        <v>121844</v>
      </c>
      <c r="E287" s="166">
        <v>28743</v>
      </c>
      <c r="F287" s="166">
        <f t="shared" si="21"/>
        <v>75628</v>
      </c>
      <c r="G287" s="121">
        <v>60</v>
      </c>
      <c r="H287" s="121">
        <v>21373</v>
      </c>
      <c r="I287" s="121">
        <v>54195</v>
      </c>
      <c r="J287" s="121"/>
      <c r="K287" s="121"/>
      <c r="L287" s="121"/>
      <c r="M287" s="121"/>
      <c r="N287" s="121">
        <v>3600</v>
      </c>
      <c r="O287" s="121">
        <v>0</v>
      </c>
      <c r="P287" s="121"/>
    </row>
    <row r="288" spans="1:16" ht="22.9" customHeight="1">
      <c r="A288" s="161" t="s">
        <v>80</v>
      </c>
      <c r="B288" s="96">
        <f t="shared" si="19"/>
        <v>344311</v>
      </c>
      <c r="C288" s="166">
        <f t="shared" si="20"/>
        <v>242085</v>
      </c>
      <c r="D288" s="166">
        <v>191246</v>
      </c>
      <c r="E288" s="166">
        <v>50839</v>
      </c>
      <c r="F288" s="166">
        <f>SUM(G288:K288)</f>
        <v>96878</v>
      </c>
      <c r="G288" s="121">
        <v>48</v>
      </c>
      <c r="H288" s="121">
        <f>32634-1500-4200</f>
        <v>26934</v>
      </c>
      <c r="I288" s="121">
        <v>69648</v>
      </c>
      <c r="J288" s="121"/>
      <c r="K288" s="121">
        <v>248</v>
      </c>
      <c r="L288" s="121"/>
      <c r="M288" s="121"/>
      <c r="N288" s="121">
        <v>5348</v>
      </c>
      <c r="O288" s="121"/>
      <c r="P288" s="121"/>
    </row>
    <row r="289" spans="1:16" ht="34.5" customHeight="1">
      <c r="A289" s="161" t="s">
        <v>67</v>
      </c>
      <c r="B289" s="96">
        <f t="shared" si="19"/>
        <v>265255</v>
      </c>
      <c r="C289" s="166">
        <f t="shared" si="20"/>
        <v>227767</v>
      </c>
      <c r="D289" s="166">
        <v>185662</v>
      </c>
      <c r="E289" s="166">
        <v>42105</v>
      </c>
      <c r="F289" s="166">
        <f t="shared" si="21"/>
        <v>37488</v>
      </c>
      <c r="G289" s="121">
        <v>476</v>
      </c>
      <c r="H289" s="121">
        <f>41417-13000</f>
        <v>28417</v>
      </c>
      <c r="I289" s="121">
        <v>8595</v>
      </c>
      <c r="J289" s="121"/>
      <c r="K289" s="121"/>
      <c r="L289" s="121"/>
      <c r="M289" s="127"/>
      <c r="N289" s="121"/>
      <c r="O289" s="121"/>
      <c r="P289" s="121"/>
    </row>
    <row r="290" spans="1:16" ht="30" customHeight="1">
      <c r="A290" s="231" t="s">
        <v>124</v>
      </c>
      <c r="B290" s="96">
        <f t="shared" si="19"/>
        <v>82926</v>
      </c>
      <c r="C290" s="166">
        <f t="shared" si="20"/>
        <v>73486</v>
      </c>
      <c r="D290" s="172">
        <v>58693</v>
      </c>
      <c r="E290" s="172">
        <v>14793</v>
      </c>
      <c r="F290" s="166">
        <f t="shared" si="21"/>
        <v>9440</v>
      </c>
      <c r="G290" s="127">
        <v>100</v>
      </c>
      <c r="H290" s="127">
        <v>2708</v>
      </c>
      <c r="I290" s="127">
        <v>6632</v>
      </c>
      <c r="J290" s="127"/>
      <c r="K290" s="127"/>
      <c r="L290" s="127"/>
      <c r="M290" s="121"/>
      <c r="N290" s="127"/>
      <c r="O290" s="127"/>
      <c r="P290" s="127"/>
    </row>
    <row r="291" spans="1:16" ht="30" customHeight="1">
      <c r="A291" s="161" t="s">
        <v>125</v>
      </c>
      <c r="B291" s="96">
        <f t="shared" si="19"/>
        <v>140092</v>
      </c>
      <c r="C291" s="166">
        <f t="shared" si="20"/>
        <v>123259</v>
      </c>
      <c r="D291" s="166">
        <v>101242</v>
      </c>
      <c r="E291" s="166">
        <v>22017</v>
      </c>
      <c r="F291" s="166">
        <f t="shared" si="21"/>
        <v>16833</v>
      </c>
      <c r="G291" s="121"/>
      <c r="H291" s="121">
        <f>7254-750</f>
        <v>6504</v>
      </c>
      <c r="I291" s="121">
        <v>10329</v>
      </c>
      <c r="J291" s="121"/>
      <c r="K291" s="121"/>
      <c r="L291" s="121"/>
      <c r="M291" s="124"/>
      <c r="N291" s="121"/>
      <c r="O291" s="121"/>
      <c r="P291" s="121"/>
    </row>
    <row r="292" spans="1:16" ht="30" customHeight="1">
      <c r="A292" s="161" t="s">
        <v>40</v>
      </c>
      <c r="B292" s="96">
        <f t="shared" si="19"/>
        <v>685761</v>
      </c>
      <c r="C292" s="166">
        <f t="shared" si="20"/>
        <v>629493</v>
      </c>
      <c r="D292" s="166">
        <v>509125</v>
      </c>
      <c r="E292" s="166">
        <v>120368</v>
      </c>
      <c r="F292" s="166">
        <f t="shared" si="22" ref="F292:F305">SUM(G292:K292)</f>
        <v>48468</v>
      </c>
      <c r="G292" s="121"/>
      <c r="H292" s="121">
        <v>24938</v>
      </c>
      <c r="I292" s="121">
        <v>23530</v>
      </c>
      <c r="J292" s="121"/>
      <c r="K292" s="121"/>
      <c r="L292" s="121"/>
      <c r="M292" s="121"/>
      <c r="N292" s="121">
        <v>7800</v>
      </c>
      <c r="O292" s="121"/>
      <c r="P292" s="121"/>
    </row>
    <row r="293" spans="1:16" ht="30" customHeight="1">
      <c r="A293" s="161" t="s">
        <v>45</v>
      </c>
      <c r="B293" s="96">
        <f t="shared" si="19"/>
        <v>21420</v>
      </c>
      <c r="C293" s="166">
        <f t="shared" si="20"/>
        <v>0</v>
      </c>
      <c r="D293" s="166"/>
      <c r="E293" s="166"/>
      <c r="F293" s="166">
        <f t="shared" si="22"/>
        <v>21420</v>
      </c>
      <c r="G293" s="121"/>
      <c r="H293" s="121">
        <v>21420</v>
      </c>
      <c r="I293" s="121"/>
      <c r="J293" s="121"/>
      <c r="K293" s="121"/>
      <c r="L293" s="121"/>
      <c r="M293" s="121"/>
      <c r="N293" s="121"/>
      <c r="O293" s="121"/>
      <c r="P293" s="121"/>
    </row>
    <row r="294" spans="1:16" ht="30" customHeight="1">
      <c r="A294" s="161" t="s">
        <v>733</v>
      </c>
      <c r="B294" s="96">
        <f t="shared" si="19"/>
        <v>150</v>
      </c>
      <c r="C294" s="166"/>
      <c r="D294" s="166"/>
      <c r="E294" s="166"/>
      <c r="F294" s="166"/>
      <c r="G294" s="121"/>
      <c r="H294" s="121"/>
      <c r="I294" s="121"/>
      <c r="J294" s="121"/>
      <c r="K294" s="121"/>
      <c r="L294" s="121">
        <v>150</v>
      </c>
      <c r="M294" s="121"/>
      <c r="N294" s="121"/>
      <c r="O294" s="121"/>
      <c r="P294" s="121"/>
    </row>
    <row r="295" spans="1:16" ht="26.25" customHeight="1">
      <c r="A295" s="161" t="s">
        <v>166</v>
      </c>
      <c r="B295" s="96">
        <f t="shared" si="19"/>
        <v>630</v>
      </c>
      <c r="C295" s="166">
        <f t="shared" si="20"/>
        <v>0</v>
      </c>
      <c r="D295" s="166"/>
      <c r="E295" s="166"/>
      <c r="F295" s="166">
        <f t="shared" si="22"/>
        <v>0</v>
      </c>
      <c r="G295" s="121"/>
      <c r="H295" s="121"/>
      <c r="I295" s="121"/>
      <c r="J295" s="121"/>
      <c r="K295" s="121"/>
      <c r="L295" s="121">
        <v>630</v>
      </c>
      <c r="M295" s="121"/>
      <c r="N295" s="121"/>
      <c r="O295" s="121"/>
      <c r="P295" s="121"/>
    </row>
    <row r="296" spans="1:16" ht="25.9" customHeight="1">
      <c r="A296" s="161" t="s">
        <v>167</v>
      </c>
      <c r="B296" s="96">
        <f t="shared" si="19"/>
        <v>500</v>
      </c>
      <c r="C296" s="166">
        <f t="shared" si="20"/>
        <v>0</v>
      </c>
      <c r="D296" s="166"/>
      <c r="E296" s="166"/>
      <c r="F296" s="166">
        <f t="shared" si="22"/>
        <v>0</v>
      </c>
      <c r="G296" s="121"/>
      <c r="H296" s="121"/>
      <c r="I296" s="121"/>
      <c r="J296" s="121"/>
      <c r="K296" s="121"/>
      <c r="L296" s="121">
        <v>500</v>
      </c>
      <c r="M296" s="121"/>
      <c r="N296" s="121"/>
      <c r="O296" s="121"/>
      <c r="P296" s="121"/>
    </row>
    <row r="297" spans="1:16" ht="24" customHeight="1">
      <c r="A297" s="161" t="s">
        <v>168</v>
      </c>
      <c r="B297" s="96">
        <f t="shared" si="19"/>
        <v>1000</v>
      </c>
      <c r="C297" s="166">
        <f t="shared" si="20"/>
        <v>0</v>
      </c>
      <c r="D297" s="166"/>
      <c r="E297" s="166"/>
      <c r="F297" s="166">
        <f t="shared" si="22"/>
        <v>0</v>
      </c>
      <c r="G297" s="121"/>
      <c r="H297" s="121"/>
      <c r="I297" s="121"/>
      <c r="J297" s="121"/>
      <c r="K297" s="121"/>
      <c r="L297" s="121">
        <v>1000</v>
      </c>
      <c r="M297" s="121"/>
      <c r="N297" s="121"/>
      <c r="O297" s="121"/>
      <c r="P297" s="121"/>
    </row>
    <row r="298" spans="1:16" ht="28.9" customHeight="1">
      <c r="A298" s="161" t="s">
        <v>611</v>
      </c>
      <c r="B298" s="96">
        <f t="shared" si="19"/>
        <v>300</v>
      </c>
      <c r="C298" s="166">
        <f t="shared" si="20"/>
        <v>0</v>
      </c>
      <c r="D298" s="166"/>
      <c r="E298" s="166"/>
      <c r="F298" s="166"/>
      <c r="G298" s="121"/>
      <c r="H298" s="121"/>
      <c r="I298" s="121"/>
      <c r="J298" s="121"/>
      <c r="K298" s="121"/>
      <c r="L298" s="121">
        <v>300</v>
      </c>
      <c r="M298" s="121"/>
      <c r="N298" s="121"/>
      <c r="O298" s="121"/>
      <c r="P298" s="121"/>
    </row>
    <row r="299" spans="1:16" ht="28.9" customHeight="1">
      <c r="A299" s="161" t="s">
        <v>734</v>
      </c>
      <c r="B299" s="96">
        <f t="shared" si="19"/>
        <v>600</v>
      </c>
      <c r="C299" s="166"/>
      <c r="D299" s="166"/>
      <c r="E299" s="166"/>
      <c r="F299" s="166"/>
      <c r="G299" s="121"/>
      <c r="H299" s="121"/>
      <c r="I299" s="121"/>
      <c r="J299" s="121"/>
      <c r="K299" s="121"/>
      <c r="L299" s="121">
        <v>600</v>
      </c>
      <c r="M299" s="121"/>
      <c r="N299" s="121"/>
      <c r="O299" s="121"/>
      <c r="P299" s="121"/>
    </row>
    <row r="300" spans="1:16" ht="32.45" customHeight="1">
      <c r="A300" s="161" t="s">
        <v>541</v>
      </c>
      <c r="B300" s="96">
        <f t="shared" si="19"/>
        <v>9700</v>
      </c>
      <c r="C300" s="166">
        <f t="shared" si="20"/>
        <v>0</v>
      </c>
      <c r="D300" s="166"/>
      <c r="E300" s="166"/>
      <c r="F300" s="166">
        <f>SUM(G300:K300)</f>
        <v>9700</v>
      </c>
      <c r="G300" s="121"/>
      <c r="H300" s="121">
        <v>9700</v>
      </c>
      <c r="I300" s="121"/>
      <c r="J300" s="121"/>
      <c r="K300" s="121"/>
      <c r="L300" s="121"/>
      <c r="M300" s="121"/>
      <c r="N300" s="121"/>
      <c r="O300" s="121"/>
      <c r="P300" s="121"/>
    </row>
    <row r="301" spans="1:16" ht="23.25" customHeight="1">
      <c r="A301" s="97" t="s">
        <v>122</v>
      </c>
      <c r="B301" s="96">
        <f t="shared" si="19"/>
        <v>141651</v>
      </c>
      <c r="C301" s="166">
        <f t="shared" si="20"/>
        <v>0</v>
      </c>
      <c r="D301" s="166"/>
      <c r="E301" s="166"/>
      <c r="F301" s="166">
        <f t="shared" si="22"/>
        <v>0</v>
      </c>
      <c r="G301" s="121"/>
      <c r="H301" s="121"/>
      <c r="I301" s="121"/>
      <c r="J301" s="121"/>
      <c r="K301" s="121"/>
      <c r="L301" s="121"/>
      <c r="M301" s="121"/>
      <c r="N301" s="121">
        <f>150000+N302</f>
        <v>141651</v>
      </c>
      <c r="O301" s="121"/>
      <c r="P301" s="121"/>
    </row>
    <row r="302" spans="1:16" ht="23.25" customHeight="1">
      <c r="A302" s="191" t="s">
        <v>760</v>
      </c>
      <c r="B302" s="164">
        <f t="shared" si="19"/>
        <v>-8349</v>
      </c>
      <c r="C302" s="166">
        <f t="shared" si="20"/>
        <v>0</v>
      </c>
      <c r="D302" s="166"/>
      <c r="E302" s="166"/>
      <c r="F302" s="166">
        <f t="shared" si="22"/>
        <v>0</v>
      </c>
      <c r="G302" s="121"/>
      <c r="H302" s="121"/>
      <c r="I302" s="121"/>
      <c r="J302" s="121"/>
      <c r="K302" s="121"/>
      <c r="L302" s="121"/>
      <c r="M302" s="121"/>
      <c r="N302" s="121">
        <v>-8349</v>
      </c>
      <c r="O302" s="121"/>
      <c r="P302" s="121"/>
    </row>
    <row r="303" spans="1:16" ht="23.25" customHeight="1">
      <c r="A303" s="97" t="s">
        <v>706</v>
      </c>
      <c r="B303" s="96">
        <f t="shared" si="19"/>
        <v>12996</v>
      </c>
      <c r="C303" s="166">
        <f t="shared" si="20"/>
        <v>0</v>
      </c>
      <c r="D303" s="166"/>
      <c r="E303" s="166"/>
      <c r="F303" s="166">
        <f t="shared" si="22"/>
        <v>0</v>
      </c>
      <c r="G303" s="121"/>
      <c r="H303" s="121"/>
      <c r="I303" s="121"/>
      <c r="J303" s="121"/>
      <c r="K303" s="121"/>
      <c r="L303" s="121"/>
      <c r="M303" s="121"/>
      <c r="N303" s="121">
        <v>12996</v>
      </c>
      <c r="O303" s="121"/>
      <c r="P303" s="121"/>
    </row>
    <row r="304" spans="1:16" ht="21.75" customHeight="1">
      <c r="A304" s="161" t="s">
        <v>569</v>
      </c>
      <c r="B304" s="96">
        <f t="shared" si="19"/>
        <v>120000</v>
      </c>
      <c r="C304" s="166">
        <f t="shared" si="20"/>
        <v>0</v>
      </c>
      <c r="D304" s="166"/>
      <c r="E304" s="166"/>
      <c r="F304" s="166">
        <f>SUM(G304:K304)</f>
        <v>0</v>
      </c>
      <c r="G304" s="121"/>
      <c r="H304" s="121"/>
      <c r="I304" s="121"/>
      <c r="J304" s="121"/>
      <c r="K304" s="121"/>
      <c r="L304" s="121"/>
      <c r="M304" s="121"/>
      <c r="N304" s="121">
        <v>120000</v>
      </c>
      <c r="O304" s="121"/>
      <c r="P304" s="121"/>
    </row>
    <row r="305" spans="1:16" ht="35.25" customHeight="1">
      <c r="A305" s="97" t="s">
        <v>568</v>
      </c>
      <c r="B305" s="96">
        <f t="shared" si="19"/>
        <v>7865</v>
      </c>
      <c r="C305" s="166">
        <f t="shared" si="20"/>
        <v>0</v>
      </c>
      <c r="D305" s="166"/>
      <c r="E305" s="166"/>
      <c r="F305" s="166">
        <f t="shared" si="22"/>
        <v>7865</v>
      </c>
      <c r="G305" s="121"/>
      <c r="H305" s="121">
        <v>7865</v>
      </c>
      <c r="I305" s="121"/>
      <c r="J305" s="121"/>
      <c r="K305" s="121"/>
      <c r="L305" s="121"/>
      <c r="M305" s="121"/>
      <c r="N305" s="121"/>
      <c r="O305" s="121"/>
      <c r="P305" s="121"/>
    </row>
    <row r="306" spans="1:16" ht="33.75" customHeight="1">
      <c r="A306" s="161" t="s">
        <v>738</v>
      </c>
      <c r="B306" s="96">
        <f t="shared" si="19"/>
        <v>9500</v>
      </c>
      <c r="C306" s="166">
        <f t="shared" si="20"/>
        <v>742</v>
      </c>
      <c r="D306" s="166">
        <v>600</v>
      </c>
      <c r="E306" s="166">
        <v>142</v>
      </c>
      <c r="F306" s="166">
        <f>SUM(G306:K306)</f>
        <v>8758</v>
      </c>
      <c r="G306" s="121"/>
      <c r="H306" s="121">
        <f>2098+H307</f>
        <v>4698</v>
      </c>
      <c r="I306" s="121">
        <f>1160+I307</f>
        <v>4060</v>
      </c>
      <c r="J306" s="121"/>
      <c r="K306" s="121"/>
      <c r="L306" s="121"/>
      <c r="M306" s="121"/>
      <c r="N306" s="121"/>
      <c r="O306" s="121"/>
      <c r="P306" s="121"/>
    </row>
    <row r="307" spans="1:16" ht="26.25" customHeight="1">
      <c r="A307" s="191" t="s">
        <v>760</v>
      </c>
      <c r="B307" s="96">
        <f t="shared" si="19"/>
        <v>5500</v>
      </c>
      <c r="C307" s="166">
        <f t="shared" si="20"/>
        <v>0</v>
      </c>
      <c r="D307" s="166"/>
      <c r="E307" s="166"/>
      <c r="F307" s="166">
        <f>SUM(G307:K307)</f>
        <v>5500</v>
      </c>
      <c r="G307" s="121"/>
      <c r="H307" s="121">
        <v>2600</v>
      </c>
      <c r="I307" s="121">
        <v>2900</v>
      </c>
      <c r="J307" s="121"/>
      <c r="K307" s="121"/>
      <c r="L307" s="121"/>
      <c r="M307" s="121"/>
      <c r="N307" s="121"/>
      <c r="O307" s="121"/>
      <c r="P307" s="121"/>
    </row>
    <row r="308" spans="1:16" s="86" customFormat="1" ht="30" customHeight="1">
      <c r="A308" s="161" t="s">
        <v>579</v>
      </c>
      <c r="B308" s="96">
        <f t="shared" si="19"/>
        <v>3999</v>
      </c>
      <c r="C308" s="166">
        <f t="shared" si="20"/>
        <v>0</v>
      </c>
      <c r="D308" s="166"/>
      <c r="E308" s="166"/>
      <c r="F308" s="166"/>
      <c r="G308" s="121"/>
      <c r="H308" s="121"/>
      <c r="I308" s="121"/>
      <c r="J308" s="121"/>
      <c r="K308" s="121"/>
      <c r="L308" s="121">
        <v>3999</v>
      </c>
      <c r="M308" s="121"/>
      <c r="N308" s="121"/>
      <c r="O308" s="121"/>
      <c r="P308" s="121"/>
    </row>
    <row r="309" spans="1:16" ht="37.9" customHeight="1">
      <c r="A309" s="161" t="s">
        <v>608</v>
      </c>
      <c r="B309" s="96">
        <f t="shared" si="19"/>
        <v>12000</v>
      </c>
      <c r="C309" s="166">
        <f t="shared" si="20"/>
        <v>0</v>
      </c>
      <c r="D309" s="166"/>
      <c r="E309" s="166"/>
      <c r="F309" s="166"/>
      <c r="G309" s="121"/>
      <c r="H309" s="121"/>
      <c r="I309" s="121"/>
      <c r="J309" s="121"/>
      <c r="K309" s="121"/>
      <c r="L309" s="121">
        <v>12000</v>
      </c>
      <c r="M309" s="121"/>
      <c r="N309" s="121"/>
      <c r="O309" s="121"/>
      <c r="P309" s="121"/>
    </row>
    <row r="310" spans="1:16" ht="30" customHeight="1">
      <c r="A310" s="161" t="s">
        <v>615</v>
      </c>
      <c r="B310" s="96">
        <f t="shared" si="19"/>
        <v>1449</v>
      </c>
      <c r="C310" s="166">
        <f t="shared" si="23" ref="C310:C348">D310+E310</f>
        <v>0</v>
      </c>
      <c r="D310" s="166"/>
      <c r="E310" s="166"/>
      <c r="F310" s="166">
        <f t="shared" si="24" ref="F310:F330">G310+H310+I310+K310</f>
        <v>0</v>
      </c>
      <c r="G310" s="121"/>
      <c r="H310" s="121"/>
      <c r="I310" s="121"/>
      <c r="J310" s="121"/>
      <c r="K310" s="121"/>
      <c r="L310" s="121"/>
      <c r="M310" s="121"/>
      <c r="N310" s="121"/>
      <c r="O310" s="121"/>
      <c r="P310" s="121">
        <v>1449</v>
      </c>
    </row>
    <row r="311" spans="1:16" ht="39.75" customHeight="1">
      <c r="A311" s="161" t="s">
        <v>617</v>
      </c>
      <c r="B311" s="96">
        <f t="shared" si="19"/>
        <v>1976</v>
      </c>
      <c r="C311" s="166">
        <f t="shared" si="23"/>
        <v>0</v>
      </c>
      <c r="D311" s="166"/>
      <c r="E311" s="166"/>
      <c r="F311" s="166">
        <f t="shared" si="24"/>
        <v>1976</v>
      </c>
      <c r="G311" s="121">
        <v>1976</v>
      </c>
      <c r="H311" s="121"/>
      <c r="I311" s="121"/>
      <c r="J311" s="121"/>
      <c r="K311" s="121"/>
      <c r="L311" s="121"/>
      <c r="M311" s="121"/>
      <c r="N311" s="121"/>
      <c r="O311" s="121"/>
      <c r="P311" s="121"/>
    </row>
    <row r="312" spans="1:16" ht="42" customHeight="1">
      <c r="A312" s="161" t="s">
        <v>616</v>
      </c>
      <c r="B312" s="96">
        <f t="shared" si="19"/>
        <v>4459</v>
      </c>
      <c r="C312" s="166">
        <f t="shared" si="23"/>
        <v>0</v>
      </c>
      <c r="D312" s="166"/>
      <c r="E312" s="166"/>
      <c r="F312" s="166">
        <f t="shared" si="24"/>
        <v>4459</v>
      </c>
      <c r="G312" s="121">
        <v>4459</v>
      </c>
      <c r="H312" s="121"/>
      <c r="I312" s="121"/>
      <c r="J312" s="121"/>
      <c r="K312" s="121"/>
      <c r="L312" s="121"/>
      <c r="M312" s="121"/>
      <c r="N312" s="121"/>
      <c r="O312" s="121"/>
      <c r="P312" s="121"/>
    </row>
    <row r="313" spans="1:16" ht="26.45" customHeight="1">
      <c r="A313" s="161" t="s">
        <v>618</v>
      </c>
      <c r="B313" s="96">
        <f t="shared" si="19"/>
        <v>30000</v>
      </c>
      <c r="C313" s="166">
        <f t="shared" si="23"/>
        <v>30000</v>
      </c>
      <c r="D313" s="166">
        <v>24274</v>
      </c>
      <c r="E313" s="166">
        <v>5726</v>
      </c>
      <c r="F313" s="166">
        <f t="shared" si="24"/>
        <v>0</v>
      </c>
      <c r="G313" s="121"/>
      <c r="H313" s="121"/>
      <c r="I313" s="121"/>
      <c r="J313" s="121"/>
      <c r="K313" s="121"/>
      <c r="L313" s="121"/>
      <c r="M313" s="121"/>
      <c r="N313" s="121"/>
      <c r="O313" s="121"/>
      <c r="P313" s="121"/>
    </row>
    <row r="314" spans="1:16" ht="51" customHeight="1">
      <c r="A314" s="97" t="s">
        <v>707</v>
      </c>
      <c r="B314" s="96">
        <f t="shared" si="19"/>
        <v>44284</v>
      </c>
      <c r="C314" s="166">
        <f t="shared" si="23"/>
        <v>0</v>
      </c>
      <c r="D314" s="166"/>
      <c r="E314" s="166"/>
      <c r="F314" s="166">
        <f t="shared" si="24"/>
        <v>0</v>
      </c>
      <c r="G314" s="121"/>
      <c r="H314" s="121"/>
      <c r="I314" s="121"/>
      <c r="J314" s="121"/>
      <c r="K314" s="121"/>
      <c r="L314" s="121"/>
      <c r="M314" s="121"/>
      <c r="N314" s="121">
        <v>44284</v>
      </c>
      <c r="O314" s="121"/>
      <c r="P314" s="121"/>
    </row>
    <row r="315" spans="1:16" ht="46.5" customHeight="1">
      <c r="A315" s="97" t="s">
        <v>709</v>
      </c>
      <c r="B315" s="96">
        <f t="shared" si="19"/>
        <v>312965</v>
      </c>
      <c r="C315" s="166">
        <f t="shared" si="23"/>
        <v>0</v>
      </c>
      <c r="D315" s="166"/>
      <c r="E315" s="166"/>
      <c r="F315" s="166">
        <f t="shared" si="24"/>
        <v>0</v>
      </c>
      <c r="G315" s="121"/>
      <c r="H315" s="121"/>
      <c r="I315" s="121"/>
      <c r="J315" s="121"/>
      <c r="K315" s="121"/>
      <c r="L315" s="121"/>
      <c r="M315" s="121"/>
      <c r="N315" s="121">
        <v>312965</v>
      </c>
      <c r="O315" s="121"/>
      <c r="P315" s="121"/>
    </row>
    <row r="316" spans="1:16" ht="34.5" customHeight="1">
      <c r="A316" s="160" t="s">
        <v>724</v>
      </c>
      <c r="B316" s="96">
        <f t="shared" si="19"/>
        <v>498</v>
      </c>
      <c r="C316" s="166">
        <f t="shared" si="23"/>
        <v>498</v>
      </c>
      <c r="D316" s="166">
        <v>498</v>
      </c>
      <c r="E316" s="166"/>
      <c r="F316" s="166">
        <f t="shared" si="24"/>
        <v>0</v>
      </c>
      <c r="G316" s="121"/>
      <c r="H316" s="121"/>
      <c r="I316" s="121"/>
      <c r="J316" s="121"/>
      <c r="K316" s="121"/>
      <c r="L316" s="121"/>
      <c r="M316" s="93"/>
      <c r="N316" s="121"/>
      <c r="O316" s="121"/>
      <c r="P316" s="121"/>
    </row>
    <row r="317" spans="1:16" ht="43.5" customHeight="1">
      <c r="A317" s="118" t="s">
        <v>651</v>
      </c>
      <c r="B317" s="96">
        <f t="shared" si="19"/>
        <v>20142</v>
      </c>
      <c r="C317" s="166">
        <f t="shared" si="23"/>
        <v>0</v>
      </c>
      <c r="D317" s="166"/>
      <c r="E317" s="166"/>
      <c r="F317" s="166">
        <f t="shared" si="24"/>
        <v>20142</v>
      </c>
      <c r="G317" s="121">
        <v>20142</v>
      </c>
      <c r="H317" s="121"/>
      <c r="I317" s="121"/>
      <c r="J317" s="121"/>
      <c r="K317" s="121"/>
      <c r="L317" s="121"/>
      <c r="M317" s="93"/>
      <c r="N317" s="121"/>
      <c r="O317" s="121"/>
      <c r="P317" s="121"/>
    </row>
    <row r="318" spans="1:16" ht="48" customHeight="1">
      <c r="A318" s="118" t="s">
        <v>652</v>
      </c>
      <c r="B318" s="96">
        <f t="shared" si="19"/>
        <v>7509</v>
      </c>
      <c r="C318" s="166">
        <f t="shared" si="23"/>
        <v>0</v>
      </c>
      <c r="D318" s="166"/>
      <c r="E318" s="166"/>
      <c r="F318" s="166">
        <f t="shared" si="24"/>
        <v>7509</v>
      </c>
      <c r="G318" s="121">
        <v>7509</v>
      </c>
      <c r="H318" s="121">
        <v>0</v>
      </c>
      <c r="I318" s="121"/>
      <c r="J318" s="121"/>
      <c r="K318" s="121"/>
      <c r="L318" s="121"/>
      <c r="M318" s="93"/>
      <c r="N318" s="121"/>
      <c r="O318" s="121"/>
      <c r="P318" s="121"/>
    </row>
    <row r="319" spans="1:16" ht="42" customHeight="1">
      <c r="A319" s="118" t="s">
        <v>653</v>
      </c>
      <c r="B319" s="96">
        <f t="shared" si="25" ref="B319:B330">SUM(C319+F319,L319:P319)</f>
        <v>10481</v>
      </c>
      <c r="C319" s="166">
        <f t="shared" si="23"/>
        <v>0</v>
      </c>
      <c r="D319" s="166"/>
      <c r="E319" s="166"/>
      <c r="F319" s="166">
        <f t="shared" si="24"/>
        <v>10481</v>
      </c>
      <c r="G319" s="121">
        <v>10481</v>
      </c>
      <c r="H319" s="121"/>
      <c r="I319" s="121"/>
      <c r="J319" s="121"/>
      <c r="K319" s="121"/>
      <c r="L319" s="121"/>
      <c r="M319" s="93"/>
      <c r="N319" s="121"/>
      <c r="O319" s="121"/>
      <c r="P319" s="121"/>
    </row>
    <row r="320" spans="1:16" ht="37.5" customHeight="1">
      <c r="A320" s="118" t="s">
        <v>647</v>
      </c>
      <c r="B320" s="96">
        <f t="shared" si="25"/>
        <v>566180</v>
      </c>
      <c r="C320" s="166">
        <f t="shared" si="23"/>
        <v>0</v>
      </c>
      <c r="D320" s="166"/>
      <c r="E320" s="166"/>
      <c r="F320" s="166">
        <f t="shared" si="24"/>
        <v>0</v>
      </c>
      <c r="G320" s="121"/>
      <c r="H320" s="121"/>
      <c r="I320" s="121"/>
      <c r="J320" s="121"/>
      <c r="K320" s="121"/>
      <c r="L320" s="121"/>
      <c r="M320" s="93"/>
      <c r="N320" s="121">
        <v>566180</v>
      </c>
      <c r="O320" s="121"/>
      <c r="P320" s="121"/>
    </row>
    <row r="321" spans="1:16" ht="56.25" customHeight="1">
      <c r="A321" s="118" t="s">
        <v>648</v>
      </c>
      <c r="B321" s="96">
        <f t="shared" si="25"/>
        <v>297249</v>
      </c>
      <c r="C321" s="166">
        <f t="shared" si="23"/>
        <v>0</v>
      </c>
      <c r="D321" s="166"/>
      <c r="E321" s="166"/>
      <c r="F321" s="166">
        <f t="shared" si="24"/>
        <v>0</v>
      </c>
      <c r="G321" s="121"/>
      <c r="H321" s="121"/>
      <c r="I321" s="121"/>
      <c r="J321" s="121"/>
      <c r="K321" s="121"/>
      <c r="L321" s="121"/>
      <c r="M321" s="93"/>
      <c r="N321" s="121">
        <v>297249</v>
      </c>
      <c r="O321" s="121"/>
      <c r="P321" s="121"/>
    </row>
    <row r="322" spans="1:16" ht="54.75" customHeight="1">
      <c r="A322" s="118" t="s">
        <v>649</v>
      </c>
      <c r="B322" s="96">
        <f t="shared" si="25"/>
        <v>1613491</v>
      </c>
      <c r="C322" s="166">
        <f t="shared" si="23"/>
        <v>0</v>
      </c>
      <c r="D322" s="166"/>
      <c r="E322" s="166"/>
      <c r="F322" s="166">
        <f t="shared" si="24"/>
        <v>0</v>
      </c>
      <c r="G322" s="121"/>
      <c r="H322" s="121"/>
      <c r="I322" s="121"/>
      <c r="J322" s="121"/>
      <c r="K322" s="121"/>
      <c r="L322" s="121"/>
      <c r="M322" s="93"/>
      <c r="N322" s="121">
        <f>1613491+N323</f>
        <v>1573790</v>
      </c>
      <c r="O322" s="121"/>
      <c r="P322" s="121">
        <f>P323</f>
        <v>39701</v>
      </c>
    </row>
    <row r="323" spans="1:16" ht="24" customHeight="1">
      <c r="A323" s="192" t="s">
        <v>760</v>
      </c>
      <c r="B323" s="96">
        <f t="shared" si="25"/>
        <v>0</v>
      </c>
      <c r="C323" s="166">
        <f t="shared" si="23"/>
        <v>0</v>
      </c>
      <c r="D323" s="166"/>
      <c r="E323" s="166"/>
      <c r="F323" s="166">
        <f t="shared" si="24"/>
        <v>0</v>
      </c>
      <c r="G323" s="121"/>
      <c r="H323" s="121"/>
      <c r="I323" s="121"/>
      <c r="J323" s="121"/>
      <c r="K323" s="121"/>
      <c r="L323" s="121"/>
      <c r="M323" s="93"/>
      <c r="N323" s="121">
        <v>-39701</v>
      </c>
      <c r="O323" s="121"/>
      <c r="P323" s="121">
        <v>39701</v>
      </c>
    </row>
    <row r="324" spans="1:16" ht="53.25" customHeight="1">
      <c r="A324" s="118" t="s">
        <v>650</v>
      </c>
      <c r="B324" s="96">
        <f t="shared" si="25"/>
        <v>10000</v>
      </c>
      <c r="C324" s="166">
        <f t="shared" si="23"/>
        <v>0</v>
      </c>
      <c r="D324" s="166"/>
      <c r="E324" s="166"/>
      <c r="F324" s="166">
        <f t="shared" si="24"/>
        <v>0</v>
      </c>
      <c r="G324" s="121"/>
      <c r="H324" s="121"/>
      <c r="I324" s="121"/>
      <c r="J324" s="121"/>
      <c r="K324" s="121"/>
      <c r="L324" s="121"/>
      <c r="M324" s="93"/>
      <c r="N324" s="121">
        <v>10000</v>
      </c>
      <c r="O324" s="121"/>
      <c r="P324" s="121"/>
    </row>
    <row r="325" spans="1:16" ht="54" customHeight="1">
      <c r="A325" s="118" t="s">
        <v>664</v>
      </c>
      <c r="B325" s="96">
        <f t="shared" si="25"/>
        <v>51885</v>
      </c>
      <c r="C325" s="166">
        <f t="shared" si="23"/>
        <v>0</v>
      </c>
      <c r="D325" s="166"/>
      <c r="E325" s="166"/>
      <c r="F325" s="166">
        <f t="shared" si="24"/>
        <v>0</v>
      </c>
      <c r="G325" s="121"/>
      <c r="H325" s="121"/>
      <c r="I325" s="121"/>
      <c r="J325" s="121"/>
      <c r="K325" s="121"/>
      <c r="L325" s="121"/>
      <c r="M325" s="93"/>
      <c r="N325" s="121">
        <v>51885</v>
      </c>
      <c r="O325" s="121"/>
      <c r="P325" s="121"/>
    </row>
    <row r="326" spans="1:16" ht="36.75" customHeight="1">
      <c r="A326" s="118" t="s">
        <v>736</v>
      </c>
      <c r="B326" s="96">
        <f t="shared" si="25"/>
        <v>16275</v>
      </c>
      <c r="C326" s="166">
        <f t="shared" si="23"/>
        <v>0</v>
      </c>
      <c r="D326" s="166"/>
      <c r="E326" s="166"/>
      <c r="F326" s="166">
        <f t="shared" si="24"/>
        <v>500</v>
      </c>
      <c r="G326" s="121"/>
      <c r="H326" s="121">
        <f>H327</f>
        <v>500</v>
      </c>
      <c r="I326" s="121"/>
      <c r="J326" s="121"/>
      <c r="K326" s="121"/>
      <c r="L326" s="121">
        <f>1400+1200+3175+10000</f>
        <v>15775</v>
      </c>
      <c r="M326" s="93"/>
      <c r="N326" s="121"/>
      <c r="O326" s="121"/>
      <c r="P326" s="121"/>
    </row>
    <row r="327" spans="1:16" ht="30.75" customHeight="1">
      <c r="A327" s="192" t="s">
        <v>760</v>
      </c>
      <c r="B327" s="96">
        <f t="shared" si="25"/>
        <v>500</v>
      </c>
      <c r="C327" s="166">
        <f t="shared" si="23"/>
        <v>0</v>
      </c>
      <c r="D327" s="166"/>
      <c r="E327" s="166"/>
      <c r="F327" s="166">
        <f t="shared" si="24"/>
        <v>500</v>
      </c>
      <c r="G327" s="121"/>
      <c r="H327" s="121">
        <v>500</v>
      </c>
      <c r="I327" s="121"/>
      <c r="J327" s="121"/>
      <c r="K327" s="121"/>
      <c r="L327" s="121"/>
      <c r="M327" s="93"/>
      <c r="N327" s="121"/>
      <c r="O327" s="121"/>
      <c r="P327" s="121"/>
    </row>
    <row r="328" spans="1:16" ht="30" customHeight="1">
      <c r="A328" s="118" t="s">
        <v>740</v>
      </c>
      <c r="B328" s="96">
        <f t="shared" si="25"/>
        <v>50000</v>
      </c>
      <c r="C328" s="166">
        <f t="shared" si="23"/>
        <v>0</v>
      </c>
      <c r="D328" s="166"/>
      <c r="E328" s="166"/>
      <c r="F328" s="166">
        <f t="shared" si="24"/>
        <v>0</v>
      </c>
      <c r="G328" s="121"/>
      <c r="H328" s="121"/>
      <c r="I328" s="121"/>
      <c r="J328" s="121"/>
      <c r="K328" s="121"/>
      <c r="L328" s="121">
        <v>0</v>
      </c>
      <c r="M328" s="93"/>
      <c r="N328" s="121">
        <v>50000</v>
      </c>
      <c r="O328" s="121"/>
      <c r="P328" s="121"/>
    </row>
    <row r="329" spans="1:16" ht="38.25" customHeight="1">
      <c r="A329" s="192" t="s">
        <v>770</v>
      </c>
      <c r="B329" s="96">
        <f t="shared" si="25"/>
        <v>1860</v>
      </c>
      <c r="C329" s="166">
        <f t="shared" si="23"/>
        <v>0</v>
      </c>
      <c r="D329" s="166"/>
      <c r="E329" s="166"/>
      <c r="F329" s="166">
        <f t="shared" si="24"/>
        <v>0</v>
      </c>
      <c r="G329" s="121"/>
      <c r="H329" s="121"/>
      <c r="I329" s="121"/>
      <c r="J329" s="121"/>
      <c r="K329" s="121"/>
      <c r="L329" s="121"/>
      <c r="M329" s="93"/>
      <c r="N329" s="121">
        <v>1860</v>
      </c>
      <c r="O329" s="121"/>
      <c r="P329" s="121"/>
    </row>
    <row r="330" spans="1:16" ht="49.5" customHeight="1">
      <c r="A330" s="192" t="s">
        <v>771</v>
      </c>
      <c r="B330" s="96">
        <f t="shared" si="25"/>
        <v>6050</v>
      </c>
      <c r="C330" s="166">
        <f t="shared" si="23"/>
        <v>0</v>
      </c>
      <c r="D330" s="166"/>
      <c r="E330" s="166"/>
      <c r="F330" s="166">
        <f t="shared" si="24"/>
        <v>0</v>
      </c>
      <c r="G330" s="121"/>
      <c r="H330" s="166"/>
      <c r="I330" s="121"/>
      <c r="J330" s="121"/>
      <c r="K330" s="121"/>
      <c r="L330" s="121"/>
      <c r="M330" s="93"/>
      <c r="N330" s="121">
        <v>6050</v>
      </c>
      <c r="O330" s="121"/>
      <c r="P330" s="121"/>
    </row>
    <row r="331" spans="1:16" ht="38.25" customHeight="1">
      <c r="A331" s="192" t="s">
        <v>785</v>
      </c>
      <c r="B331" s="96">
        <f t="shared" si="26" ref="B331:B348">SUM(C331+F331,L331:P331)</f>
        <v>1000</v>
      </c>
      <c r="C331" s="166">
        <f t="shared" si="23"/>
        <v>1000</v>
      </c>
      <c r="D331" s="166">
        <v>1000</v>
      </c>
      <c r="E331" s="166"/>
      <c r="F331" s="166">
        <f t="shared" si="27" ref="F331:F348">G331+H331+I331+K331</f>
        <v>0</v>
      </c>
      <c r="G331" s="121"/>
      <c r="H331" s="121"/>
      <c r="I331" s="121"/>
      <c r="J331" s="121"/>
      <c r="K331" s="121"/>
      <c r="L331" s="121"/>
      <c r="M331" s="93"/>
      <c r="N331" s="121"/>
      <c r="O331" s="121"/>
      <c r="P331" s="121"/>
    </row>
    <row r="332" spans="1:16" ht="53.25" customHeight="1">
      <c r="A332" s="192" t="s">
        <v>788</v>
      </c>
      <c r="B332" s="96">
        <f t="shared" si="26"/>
        <v>5000</v>
      </c>
      <c r="C332" s="166">
        <f t="shared" si="23"/>
        <v>5000</v>
      </c>
      <c r="D332" s="166">
        <v>5000</v>
      </c>
      <c r="E332" s="166"/>
      <c r="F332" s="166">
        <f t="shared" si="27"/>
        <v>0</v>
      </c>
      <c r="G332" s="121"/>
      <c r="H332" s="121"/>
      <c r="I332" s="121"/>
      <c r="J332" s="121"/>
      <c r="K332" s="121"/>
      <c r="L332" s="121"/>
      <c r="M332" s="93"/>
      <c r="N332" s="121"/>
      <c r="O332" s="121"/>
      <c r="P332" s="121"/>
    </row>
    <row r="333" spans="1:16" ht="58.5" customHeight="1">
      <c r="A333" s="192" t="s">
        <v>789</v>
      </c>
      <c r="B333" s="96">
        <f t="shared" si="26"/>
        <v>1000</v>
      </c>
      <c r="C333" s="166">
        <f t="shared" si="23"/>
        <v>1000</v>
      </c>
      <c r="D333" s="166">
        <v>1000</v>
      </c>
      <c r="E333" s="166"/>
      <c r="F333" s="166">
        <f t="shared" si="27"/>
        <v>0</v>
      </c>
      <c r="G333" s="121"/>
      <c r="H333" s="121"/>
      <c r="I333" s="121"/>
      <c r="J333" s="121"/>
      <c r="K333" s="121"/>
      <c r="L333" s="121"/>
      <c r="M333" s="93"/>
      <c r="N333" s="121"/>
      <c r="O333" s="121"/>
      <c r="P333" s="121"/>
    </row>
    <row r="334" spans="1:16" ht="33" customHeight="1">
      <c r="A334" s="192" t="s">
        <v>790</v>
      </c>
      <c r="B334" s="96">
        <f t="shared" si="26"/>
        <v>4000</v>
      </c>
      <c r="C334" s="166">
        <f t="shared" si="23"/>
        <v>2534</v>
      </c>
      <c r="D334" s="166">
        <v>2534</v>
      </c>
      <c r="E334" s="166"/>
      <c r="F334" s="166">
        <f t="shared" si="27"/>
        <v>1466</v>
      </c>
      <c r="G334" s="121"/>
      <c r="H334" s="121">
        <v>1466</v>
      </c>
      <c r="I334" s="121"/>
      <c r="J334" s="121"/>
      <c r="K334" s="121"/>
      <c r="L334" s="121"/>
      <c r="M334" s="93"/>
      <c r="N334" s="121"/>
      <c r="O334" s="121"/>
      <c r="P334" s="121"/>
    </row>
    <row r="335" spans="1:16" ht="49.5" customHeight="1">
      <c r="A335" s="192" t="s">
        <v>791</v>
      </c>
      <c r="B335" s="96">
        <f t="shared" si="26"/>
        <v>4000</v>
      </c>
      <c r="C335" s="166">
        <f t="shared" si="23"/>
        <v>600</v>
      </c>
      <c r="D335" s="166">
        <v>600</v>
      </c>
      <c r="E335" s="166"/>
      <c r="F335" s="166">
        <f t="shared" si="27"/>
        <v>3400</v>
      </c>
      <c r="G335" s="121"/>
      <c r="H335" s="121"/>
      <c r="I335" s="121">
        <v>3400</v>
      </c>
      <c r="J335" s="121"/>
      <c r="K335" s="121"/>
      <c r="L335" s="121"/>
      <c r="M335" s="93"/>
      <c r="N335" s="121"/>
      <c r="O335" s="121"/>
      <c r="P335" s="121"/>
    </row>
    <row r="336" spans="1:16" ht="47.25" customHeight="1">
      <c r="A336" s="192" t="s">
        <v>793</v>
      </c>
      <c r="B336" s="96">
        <f t="shared" si="26"/>
        <v>1625</v>
      </c>
      <c r="C336" s="166">
        <f t="shared" si="23"/>
        <v>0</v>
      </c>
      <c r="D336" s="166"/>
      <c r="E336" s="166"/>
      <c r="F336" s="166">
        <f t="shared" si="27"/>
        <v>1625</v>
      </c>
      <c r="G336" s="166">
        <v>1625</v>
      </c>
      <c r="H336" s="121"/>
      <c r="I336" s="121"/>
      <c r="J336" s="121"/>
      <c r="K336" s="121"/>
      <c r="L336" s="121"/>
      <c r="M336" s="93"/>
      <c r="N336" s="121"/>
      <c r="O336" s="121"/>
      <c r="P336" s="121"/>
    </row>
    <row r="337" spans="1:16" ht="40.5" customHeight="1">
      <c r="A337" s="192" t="s">
        <v>776</v>
      </c>
      <c r="B337" s="96">
        <f t="shared" si="26"/>
        <v>9731</v>
      </c>
      <c r="C337" s="166">
        <f t="shared" si="23"/>
        <v>0</v>
      </c>
      <c r="D337" s="166"/>
      <c r="E337" s="166"/>
      <c r="F337" s="166">
        <f t="shared" si="27"/>
        <v>0</v>
      </c>
      <c r="G337" s="121"/>
      <c r="H337" s="121"/>
      <c r="I337" s="121"/>
      <c r="J337" s="121"/>
      <c r="K337" s="121"/>
      <c r="L337" s="121">
        <v>9731</v>
      </c>
      <c r="M337" s="93"/>
      <c r="N337" s="121"/>
      <c r="O337" s="121"/>
      <c r="P337" s="121"/>
    </row>
    <row r="338" spans="1:16" ht="33" customHeight="1">
      <c r="A338" s="192" t="s">
        <v>792</v>
      </c>
      <c r="B338" s="96">
        <f t="shared" si="26"/>
        <v>290400</v>
      </c>
      <c r="C338" s="166">
        <f t="shared" si="23"/>
        <v>0</v>
      </c>
      <c r="D338" s="166"/>
      <c r="E338" s="166"/>
      <c r="F338" s="166">
        <f t="shared" si="27"/>
        <v>0</v>
      </c>
      <c r="G338" s="121"/>
      <c r="H338" s="121"/>
      <c r="I338" s="121"/>
      <c r="J338" s="121"/>
      <c r="K338" s="121"/>
      <c r="L338" s="121"/>
      <c r="M338" s="93"/>
      <c r="N338" s="121">
        <v>290400</v>
      </c>
      <c r="O338" s="121"/>
      <c r="P338" s="121"/>
    </row>
    <row r="339" spans="1:16" ht="57" customHeight="1">
      <c r="A339" s="192" t="s">
        <v>777</v>
      </c>
      <c r="B339" s="96">
        <f t="shared" si="26"/>
        <v>8884</v>
      </c>
      <c r="C339" s="166">
        <f t="shared" si="23"/>
        <v>0</v>
      </c>
      <c r="D339" s="166"/>
      <c r="E339" s="166"/>
      <c r="F339" s="166">
        <f t="shared" si="27"/>
        <v>8884</v>
      </c>
      <c r="G339" s="166">
        <v>8884</v>
      </c>
      <c r="H339" s="121"/>
      <c r="I339" s="121"/>
      <c r="J339" s="121"/>
      <c r="K339" s="121"/>
      <c r="L339" s="121"/>
      <c r="M339" s="93"/>
      <c r="N339" s="121"/>
      <c r="O339" s="121"/>
      <c r="P339" s="121"/>
    </row>
    <row r="340" spans="1:16" ht="47.25" customHeight="1">
      <c r="A340" s="192" t="s">
        <v>778</v>
      </c>
      <c r="B340" s="96">
        <f>SUM(C340+F340,L340:P340)</f>
        <v>32229</v>
      </c>
      <c r="C340" s="166">
        <f t="shared" si="23"/>
        <v>0</v>
      </c>
      <c r="D340" s="166"/>
      <c r="E340" s="166"/>
      <c r="F340" s="166">
        <f t="shared" si="27"/>
        <v>0</v>
      </c>
      <c r="G340" s="121"/>
      <c r="H340" s="121"/>
      <c r="I340" s="121"/>
      <c r="J340" s="121"/>
      <c r="K340" s="121"/>
      <c r="L340" s="121"/>
      <c r="M340" s="93"/>
      <c r="N340" s="121">
        <v>32229</v>
      </c>
      <c r="O340" s="121"/>
      <c r="P340" s="121"/>
    </row>
    <row r="341" spans="1:16" ht="33.75" customHeight="1">
      <c r="A341" s="192" t="s">
        <v>779</v>
      </c>
      <c r="B341" s="164">
        <f t="shared" si="26"/>
        <v>550</v>
      </c>
      <c r="C341" s="166">
        <f t="shared" si="23"/>
        <v>0</v>
      </c>
      <c r="D341" s="166"/>
      <c r="E341" s="166"/>
      <c r="F341" s="166">
        <f t="shared" si="27"/>
        <v>0</v>
      </c>
      <c r="G341" s="121"/>
      <c r="H341" s="121"/>
      <c r="I341" s="121"/>
      <c r="J341" s="121"/>
      <c r="K341" s="121"/>
      <c r="L341" s="121">
        <v>550</v>
      </c>
      <c r="M341" s="93"/>
      <c r="N341" s="121"/>
      <c r="O341" s="121"/>
      <c r="P341" s="121"/>
    </row>
    <row r="342" spans="1:16" ht="33.75" customHeight="1">
      <c r="A342" s="192" t="s">
        <v>799</v>
      </c>
      <c r="B342" s="164">
        <f t="shared" si="26"/>
        <v>550</v>
      </c>
      <c r="C342" s="166">
        <f t="shared" si="23"/>
        <v>0</v>
      </c>
      <c r="D342" s="166"/>
      <c r="E342" s="166"/>
      <c r="F342" s="166">
        <f t="shared" si="27"/>
        <v>550</v>
      </c>
      <c r="G342" s="121"/>
      <c r="H342" s="121">
        <v>550</v>
      </c>
      <c r="I342" s="121"/>
      <c r="J342" s="121"/>
      <c r="K342" s="121"/>
      <c r="L342" s="121"/>
      <c r="M342" s="93"/>
      <c r="N342" s="121"/>
      <c r="O342" s="121"/>
      <c r="P342" s="121"/>
    </row>
    <row r="343" spans="1:16" ht="47.25" customHeight="1">
      <c r="A343" s="192" t="s">
        <v>784</v>
      </c>
      <c r="B343" s="96">
        <f t="shared" si="26"/>
        <v>19584</v>
      </c>
      <c r="C343" s="166">
        <f t="shared" si="23"/>
        <v>0</v>
      </c>
      <c r="D343" s="166"/>
      <c r="E343" s="166"/>
      <c r="F343" s="166">
        <f t="shared" si="27"/>
        <v>19584</v>
      </c>
      <c r="G343" s="121"/>
      <c r="H343" s="121">
        <v>9584</v>
      </c>
      <c r="I343" s="121">
        <v>10000</v>
      </c>
      <c r="J343" s="121"/>
      <c r="K343" s="121"/>
      <c r="L343" s="121"/>
      <c r="M343" s="93"/>
      <c r="N343" s="121"/>
      <c r="O343" s="121"/>
      <c r="P343" s="121"/>
    </row>
    <row r="344" spans="1:16" ht="36.75" customHeight="1">
      <c r="A344" s="232" t="s">
        <v>797</v>
      </c>
      <c r="B344" s="96">
        <f t="shared" si="26"/>
        <v>1600</v>
      </c>
      <c r="C344" s="166">
        <f t="shared" si="23"/>
        <v>0</v>
      </c>
      <c r="D344" s="166"/>
      <c r="E344" s="166"/>
      <c r="F344" s="166">
        <f t="shared" si="27"/>
        <v>1600</v>
      </c>
      <c r="G344" s="121"/>
      <c r="H344" s="121">
        <v>1350</v>
      </c>
      <c r="I344" s="121">
        <v>250</v>
      </c>
      <c r="J344" s="121"/>
      <c r="K344" s="121"/>
      <c r="L344" s="121"/>
      <c r="M344" s="93"/>
      <c r="N344" s="121"/>
      <c r="O344" s="121"/>
      <c r="P344" s="121"/>
    </row>
    <row r="345" spans="1:16" ht="68.25" customHeight="1">
      <c r="A345" s="192" t="s">
        <v>780</v>
      </c>
      <c r="B345" s="96">
        <f t="shared" si="26"/>
        <v>2299</v>
      </c>
      <c r="C345" s="166">
        <f t="shared" si="23"/>
        <v>0</v>
      </c>
      <c r="D345" s="166"/>
      <c r="E345" s="166"/>
      <c r="F345" s="166">
        <f t="shared" si="27"/>
        <v>0</v>
      </c>
      <c r="G345" s="121"/>
      <c r="H345" s="121"/>
      <c r="I345" s="121"/>
      <c r="J345" s="121"/>
      <c r="K345" s="121"/>
      <c r="L345" s="121"/>
      <c r="M345" s="93"/>
      <c r="N345" s="121">
        <v>2299</v>
      </c>
      <c r="O345" s="121"/>
      <c r="P345" s="121"/>
    </row>
    <row r="346" spans="1:16" ht="69" customHeight="1">
      <c r="A346" s="192" t="s">
        <v>781</v>
      </c>
      <c r="B346" s="96">
        <f t="shared" si="26"/>
        <v>3388</v>
      </c>
      <c r="C346" s="166">
        <f t="shared" si="23"/>
        <v>0</v>
      </c>
      <c r="D346" s="166"/>
      <c r="E346" s="166"/>
      <c r="F346" s="166">
        <f t="shared" si="27"/>
        <v>0</v>
      </c>
      <c r="G346" s="121"/>
      <c r="H346" s="121"/>
      <c r="I346" s="121"/>
      <c r="J346" s="121"/>
      <c r="K346" s="121"/>
      <c r="L346" s="121"/>
      <c r="M346" s="93"/>
      <c r="N346" s="121">
        <v>3388</v>
      </c>
      <c r="O346" s="121"/>
      <c r="P346" s="121"/>
    </row>
    <row r="347" spans="1:16" ht="68.25" customHeight="1">
      <c r="A347" s="192" t="s">
        <v>782</v>
      </c>
      <c r="B347" s="96">
        <f t="shared" si="26"/>
        <v>1452</v>
      </c>
      <c r="C347" s="166">
        <f t="shared" si="23"/>
        <v>0</v>
      </c>
      <c r="D347" s="166"/>
      <c r="E347" s="166"/>
      <c r="F347" s="166">
        <f t="shared" si="27"/>
        <v>0</v>
      </c>
      <c r="G347" s="121"/>
      <c r="H347" s="121"/>
      <c r="I347" s="121"/>
      <c r="J347" s="121"/>
      <c r="K347" s="121"/>
      <c r="L347" s="121"/>
      <c r="M347" s="93"/>
      <c r="N347" s="121">
        <v>1452</v>
      </c>
      <c r="O347" s="121"/>
      <c r="P347" s="121"/>
    </row>
    <row r="348" spans="1:16" ht="68.25" customHeight="1">
      <c r="A348" s="192" t="s">
        <v>783</v>
      </c>
      <c r="B348" s="96">
        <f t="shared" si="26"/>
        <v>1210</v>
      </c>
      <c r="C348" s="166">
        <f t="shared" si="23"/>
        <v>0</v>
      </c>
      <c r="D348" s="166"/>
      <c r="E348" s="166"/>
      <c r="F348" s="166">
        <f t="shared" si="27"/>
        <v>0</v>
      </c>
      <c r="G348" s="121"/>
      <c r="H348" s="121"/>
      <c r="I348" s="121"/>
      <c r="J348" s="121"/>
      <c r="K348" s="121"/>
      <c r="L348" s="121"/>
      <c r="M348" s="93"/>
      <c r="N348" s="121">
        <v>1210</v>
      </c>
      <c r="O348" s="121"/>
      <c r="P348" s="121"/>
    </row>
    <row r="349" spans="1:16" ht="25.5" customHeight="1">
      <c r="A349" s="118" t="s">
        <v>41</v>
      </c>
      <c r="B349" s="239">
        <v>38791445</v>
      </c>
      <c r="C349" s="179">
        <v>22152890</v>
      </c>
      <c r="D349" s="179">
        <v>17846681</v>
      </c>
      <c r="E349" s="179">
        <v>4306209</v>
      </c>
      <c r="F349" s="179">
        <v>8919847</v>
      </c>
      <c r="G349" s="93">
        <v>121680</v>
      </c>
      <c r="H349" s="93">
        <v>4515625</v>
      </c>
      <c r="I349" s="93">
        <v>3818473</v>
      </c>
      <c r="J349" s="93">
        <v>19010</v>
      </c>
      <c r="K349" s="93">
        <v>445059</v>
      </c>
      <c r="L349" s="93">
        <v>130554</v>
      </c>
      <c r="M349" s="93">
        <v>786459</v>
      </c>
      <c r="N349" s="93">
        <v>4859567</v>
      </c>
      <c r="O349" s="93">
        <v>1838163</v>
      </c>
      <c r="P349" s="93">
        <v>103965</v>
      </c>
    </row>
    <row r="350" spans="1:16" ht="30" customHeight="1">
      <c r="A350" s="192" t="s">
        <v>760</v>
      </c>
      <c r="B350" s="239">
        <f>B348+B347+B346+B345+B344+B343+B342+B341+B340+B339+B338+B337+B336+B335+B334+B333+B332+B331+B330+B329+B327+B323+B307+B302+B277+B256+B251+B244+B242+B240+B238+B236+B234+B232+B230+B228+B226+B224+B222+B219+B217+B215+B213+B211+B185+B182+B147+B137+B130+B128+B120+B117+B109+B107+B105+B102+B80+B76+B55+B52+B44+B38+B34+B29+B26+B20+B113</f>
        <v>519038</v>
      </c>
      <c r="C350" s="239">
        <f t="shared" si="28" ref="C350:P350">C348+C347+C346+C345+C344+C343+C342+C341+C340+C339+C338+C337+C336+C335+C334+C333+C332+C331+C330+C329+C327+C323+C307+C302+C277+C256+C251+C244+C242+C240+C238+C236+C234+C232+C230+C228+C226+C224+C222+C219+C217+C215+C213+C211+C185+C182+C147+C137+C130+C128+C120+C117+C109+C107+C105+C102+C80+C76+C55+C52+C44+C38+C34+C29+C26+C20+C113</f>
        <v>21512</v>
      </c>
      <c r="D350" s="239">
        <f t="shared" si="28"/>
        <v>19652</v>
      </c>
      <c r="E350" s="239">
        <f t="shared" si="28"/>
        <v>1860</v>
      </c>
      <c r="F350" s="239">
        <f t="shared" si="28"/>
        <v>111477</v>
      </c>
      <c r="G350" s="239">
        <f t="shared" si="28"/>
        <v>10879</v>
      </c>
      <c r="H350" s="239">
        <f t="shared" si="28"/>
        <v>38615</v>
      </c>
      <c r="I350" s="239">
        <f t="shared" si="28"/>
        <v>62453</v>
      </c>
      <c r="J350" s="239">
        <f t="shared" si="28"/>
        <v>0</v>
      </c>
      <c r="K350" s="239">
        <f t="shared" si="28"/>
        <v>-470</v>
      </c>
      <c r="L350" s="239">
        <f t="shared" si="28"/>
        <v>-9957</v>
      </c>
      <c r="M350" s="239">
        <f t="shared" si="28"/>
        <v>0</v>
      </c>
      <c r="N350" s="239">
        <f t="shared" si="28"/>
        <v>352861</v>
      </c>
      <c r="O350" s="239">
        <f t="shared" si="28"/>
        <v>0</v>
      </c>
      <c r="P350" s="239">
        <f t="shared" si="28"/>
        <v>43145</v>
      </c>
    </row>
    <row r="351" spans="1:19" ht="26.45" customHeight="1">
      <c r="A351" s="15" t="s">
        <v>41</v>
      </c>
      <c r="B351" s="93">
        <f>SUM(B19:B348)-B327-B323-B307-B277-B251-B244-B242-B240-B238-B236-B234-B232-B230-B228-B226-B224-B222-B219-B217-B215-B213-B211-B185-B182-B137-B128-B120-B117-B109-B107-B102-B113-B44-B38-B34-B29-B26-B20-B130-B302-B256-B147-B105-B80-B76-B55-B52</f>
        <v>39310482.780000001</v>
      </c>
      <c r="C351" s="93">
        <f t="shared" si="29" ref="C351:P351">SUM(C19:C348)-C327-C323-C307-C277-C251-C244-C242-C240-C238-C236-C234-C232-C230-C228-C226-C224-C222-C219-C217-C215-C213-C211-C185-C182-C137-C128-C120-C117-C109-C107-C102-C113-C44-C38-C34-C29-C26-C20-C130-C302-C256-C147-C105-C80-C76-C55-C52</f>
        <v>22174402</v>
      </c>
      <c r="D351" s="93">
        <f t="shared" si="29"/>
        <v>17866333</v>
      </c>
      <c r="E351" s="93">
        <f t="shared" si="29"/>
        <v>4308069</v>
      </c>
      <c r="F351" s="93">
        <f t="shared" si="29"/>
        <v>9031324</v>
      </c>
      <c r="G351" s="93">
        <f t="shared" si="29"/>
        <v>132559</v>
      </c>
      <c r="H351" s="93">
        <f t="shared" si="29"/>
        <v>4554240</v>
      </c>
      <c r="I351" s="93">
        <f t="shared" si="29"/>
        <v>3880926</v>
      </c>
      <c r="J351" s="93">
        <f t="shared" si="29"/>
        <v>19010</v>
      </c>
      <c r="K351" s="93">
        <f t="shared" si="29"/>
        <v>444589</v>
      </c>
      <c r="L351" s="93">
        <f t="shared" si="29"/>
        <v>120597</v>
      </c>
      <c r="M351" s="93">
        <f t="shared" si="29"/>
        <v>786459</v>
      </c>
      <c r="N351" s="93">
        <f t="shared" si="29"/>
        <v>5212428</v>
      </c>
      <c r="O351" s="93">
        <f t="shared" si="29"/>
        <v>1838163</v>
      </c>
      <c r="P351" s="93">
        <f t="shared" si="29"/>
        <v>147109.78</v>
      </c>
      <c r="Q351" s="65"/>
      <c r="R351" s="62"/>
      <c r="S351" s="62"/>
    </row>
    <row r="352" spans="1:16" ht="21" customHeight="1">
      <c r="A352" s="235"/>
      <c r="B352" s="209"/>
      <c r="C352" s="180"/>
      <c r="D352" s="180"/>
      <c r="E352" s="181"/>
      <c r="F352" s="181"/>
      <c r="G352" s="129"/>
      <c r="H352" s="129"/>
      <c r="I352" s="128"/>
      <c r="J352" s="128"/>
      <c r="K352" s="128"/>
      <c r="L352" s="128"/>
      <c r="M352" s="128"/>
      <c r="N352" s="128"/>
      <c r="O352" s="128"/>
      <c r="P352" s="128"/>
    </row>
    <row r="353" spans="1:16" ht="15" customHeight="1">
      <c r="A353" s="236"/>
      <c r="B353" s="95"/>
      <c r="C353" s="180"/>
      <c r="D353" s="180"/>
      <c r="E353" s="181"/>
      <c r="F353" s="181"/>
      <c r="G353" s="129"/>
      <c r="H353" s="129"/>
      <c r="I353" s="128"/>
      <c r="J353" s="128"/>
      <c r="K353" s="128"/>
      <c r="L353" s="128"/>
      <c r="N353" s="128"/>
      <c r="O353" s="128"/>
      <c r="P353" s="128"/>
    </row>
    <row r="354" spans="2:13" ht="15" customHeight="1">
      <c r="B354" s="87" t="s">
        <v>813</v>
      </c>
      <c r="D354" s="62"/>
      <c r="M354" s="87"/>
    </row>
    <row r="355" spans="1:16" ht="18.75">
      <c r="A355" s="87"/>
      <c r="B355" s="87"/>
      <c r="D355" s="62"/>
      <c r="E355" s="181"/>
      <c r="F355" s="181"/>
      <c r="G355" s="129"/>
      <c r="H355" s="129"/>
      <c r="I355" s="87"/>
      <c r="J355" s="87"/>
      <c r="K355" s="87"/>
      <c r="L355" s="87"/>
      <c r="M355" s="130"/>
      <c r="N355" s="87"/>
      <c r="O355" s="145"/>
      <c r="P355" s="87"/>
    </row>
    <row r="356" spans="3:16" ht="15">
      <c r="C356" s="62"/>
      <c r="D356" s="62"/>
      <c r="E356" s="181"/>
      <c r="F356" s="181"/>
      <c r="G356" s="129"/>
      <c r="H356" s="129"/>
      <c r="I356" s="130"/>
      <c r="J356" s="130"/>
      <c r="K356" s="130"/>
      <c r="L356" s="130"/>
      <c r="N356" s="130"/>
      <c r="O356" s="130"/>
      <c r="P356" s="130"/>
    </row>
    <row r="357" spans="5:16" ht="15">
      <c r="E357" s="181"/>
      <c r="F357" s="181"/>
      <c r="G357" s="129"/>
      <c r="H357" s="129"/>
      <c r="P357" s="130"/>
    </row>
    <row r="358" spans="5:8" ht="15">
      <c r="E358" s="181"/>
      <c r="F358" s="181"/>
      <c r="G358" s="129"/>
      <c r="H358" s="129"/>
    </row>
    <row r="359" spans="5:8" ht="15">
      <c r="E359" s="181"/>
      <c r="F359" s="181"/>
      <c r="G359" s="129"/>
      <c r="H359" s="129"/>
    </row>
    <row r="362" spans="7:12" ht="15">
      <c r="G362" s="130"/>
      <c r="H362" s="130"/>
      <c r="I362" s="130"/>
      <c r="J362" s="130"/>
      <c r="K362" s="130"/>
      <c r="L362" s="130"/>
    </row>
  </sheetData>
  <autoFilter ref="A16:P351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5">
    <mergeCell ref="C15:F15"/>
    <mergeCell ref="C16:P16"/>
    <mergeCell ref="A16:A18"/>
    <mergeCell ref="B16:B18"/>
    <mergeCell ref="A14:P14"/>
  </mergeCells>
  <printOptions horizontalCentered="1"/>
  <pageMargins left="0.708661417322835" right="0.708661417322835" top="0.748031496062992" bottom="0.748031496062992" header="0.31496062992126" footer="0.31496062992126"/>
  <pageSetup fitToHeight="0" orientation="landscape" paperSize="9" scale="55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1.pielikums</vt:lpstr>
      <vt:lpstr>2.pielikums</vt:lpstr>
      <vt:lpstr>3.pielikums</vt:lpstr>
      <vt:lpstr>4.pielikums</vt:lpstr>
    </vt:vector>
  </TitlesOfParts>
  <Template/>
  <Manager/>
  <Company>Grizli777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neo118317@outlook.lv</cp:lastModifiedBy>
  <cp:lastPrinted>2025-06-25T13:08:04Z</cp:lastPrinted>
  <dcterms:created xsi:type="dcterms:W3CDTF">2014-01-31T18:56:56Z</dcterms:created>
  <dcterms:modified xsi:type="dcterms:W3CDTF">2025-06-25T13:08:15Z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