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05" yWindow="-105" windowWidth="23250" windowHeight="12570" activeTab="1"/>
  </bookViews>
  <sheets>
    <sheet name="3.pielikums" sheetId="3" r:id="rId3"/>
    <sheet name="4.pielikums" sheetId="1" r:id="rId4"/>
  </sheets>
  <definedNames>
    <definedName name="_xlnm.Print_Area" localSheetId="1">'4.pielikums'!$A$5:$I$407</definedName>
  </definedNames>
  <calcPr calcId="152511"/>
</workbook>
</file>

<file path=xl/calcChain.xml><?xml version="1.0" encoding="utf-8"?>
<calcChain xmlns="http://schemas.openxmlformats.org/spreadsheetml/2006/main">
  <c r="G345" i="3" l="1"/>
</calcChain>
</file>

<file path=xl/sharedStrings.xml><?xml version="1.0" encoding="utf-8"?>
<sst xmlns="http://schemas.openxmlformats.org/spreadsheetml/2006/main" count="763" uniqueCount="420">
  <si>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</si>
  <si>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</si>
  <si>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</si>
  <si>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</si>
  <si>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</si>
  <si>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</si>
  <si>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</si>
  <si>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</si>
  <si>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</si>
  <si>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</si>
  <si>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</si>
  <si>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</si>
  <si>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</si>
  <si>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</si>
  <si>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</si>
  <si>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</si>
  <si>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</si>
  <si>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</si>
  <si>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</si>
  <si>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</si>
  <si>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</si>
  <si>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Berzkalnes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</si>
  <si>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</si>
  <si>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</si>
  <si>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</si>
  <si>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</si>
  <si>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</si>
  <si>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</si>
  <si>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</si>
  <si>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</si>
  <si>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</si>
  <si>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t.sk. pašvaldības dotācija apzaļumošanai un labiekārtošanai</t>
  </si>
  <si>
    <t>Briežuciema FVP</t>
  </si>
  <si>
    <t>Krišjānu FVP</t>
  </si>
  <si>
    <t>Kubulu VFP</t>
  </si>
  <si>
    <t>Lazdulejas VFP</t>
  </si>
  <si>
    <t>Vectilžas VFP</t>
  </si>
  <si>
    <t>Vīksnas VFP</t>
  </si>
  <si>
    <t xml:space="preserve">Sporta pasākumi novadā 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</si>
  <si>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</si>
  <si>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</si>
  <si>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</si>
  <si>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</si>
  <si>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</si>
  <si>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</si>
  <si>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</si>
  <si>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</si>
  <si>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</si>
  <si>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</si>
  <si>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</si>
  <si>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</si>
  <si>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</si>
  <si>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</si>
  <si>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</si>
  <si>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</si>
  <si>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</si>
  <si>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</si>
  <si>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</si>
  <si>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</si>
  <si>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</si>
  <si>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</si>
  <si>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Klasifikācijas kods</t>
  </si>
  <si>
    <t>Iestādes un pasākumi</t>
  </si>
  <si>
    <t>01.000</t>
  </si>
  <si>
    <t>Vispārējie valdības dienesti</t>
  </si>
  <si>
    <t>03.000</t>
  </si>
  <si>
    <t>Sabiedriskā kārtība un drošība</t>
  </si>
  <si>
    <t>04.000</t>
  </si>
  <si>
    <t>Balvu novada Būvvalde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</si>
  <si>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</si>
  <si>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</si>
  <si>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</si>
  <si>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</si>
  <si>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</si>
  <si>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</si>
  <si>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</si>
  <si>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</si>
  <si>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</si>
  <si>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</si>
  <si>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</si>
  <si>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Vectilžas feldšeru veselības punkts</t>
  </si>
  <si>
    <t>Vīksnas feldšeru veselības punkts</t>
  </si>
  <si>
    <t>08.000</t>
  </si>
  <si>
    <t>Atpūta, kultūras un reliģija</t>
  </si>
  <si>
    <t>Atpūtas un sporta pasākumi</t>
  </si>
  <si>
    <t>Sporta pasākumi novadā</t>
  </si>
  <si>
    <t>Kultūra</t>
  </si>
  <si>
    <t>Bibliotēkas</t>
  </si>
  <si>
    <t>Muzeji</t>
  </si>
  <si>
    <t>Kultūras nami</t>
  </si>
  <si>
    <t>Briežuciema pagasta Tautas nams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</si>
  <si>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</si>
  <si>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</si>
  <si>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</si>
  <si>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</si>
  <si>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</si>
  <si>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</si>
  <si>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Vidusskolas</t>
  </si>
  <si>
    <t>Interešu un profesionālās ievirzes izglītība</t>
  </si>
  <si>
    <t>Peldbaseins</t>
  </si>
  <si>
    <t>Pārējā izglītības vadība</t>
  </si>
  <si>
    <t>Pārējie citur neklasificētie izglītības pakalpojumi</t>
  </si>
  <si>
    <t>Transporta izdevumi kompensācija skolēniem</t>
  </si>
  <si>
    <t>10.000</t>
  </si>
  <si>
    <t>Sociālā aizsardzība</t>
  </si>
  <si>
    <t>Pārējais citur neklasificēts atbalsts sociāli atstumtām personām</t>
  </si>
  <si>
    <t>Asistenta pakalpojumi personām ar invaliditāti</t>
  </si>
  <si>
    <t>Aizņēmumi</t>
  </si>
  <si>
    <t>Ekonomiskā darbība</t>
  </si>
  <si>
    <t>P/A "SAN-TEX"</t>
  </si>
  <si>
    <t>Stacijas pamatskolas Vīksnas filiāle</t>
  </si>
  <si>
    <t>Balvu sporta skolas Peldbaseins</t>
  </si>
  <si>
    <t>Balvu Profesionālā un vispārizglītojošā vidusskola</t>
  </si>
  <si>
    <t>Atskurbtuves uzturēšana</t>
  </si>
  <si>
    <t>Balvu profesionālā un vispāizglītojošā vidusskola</t>
  </si>
  <si>
    <t>Finansēšanas avots</t>
  </si>
  <si>
    <t>Algoti pagaidu sabiedriskie darbi</t>
  </si>
  <si>
    <t xml:space="preserve">Kopā </t>
  </si>
  <si>
    <t>Vispārējie ieņēmumi</t>
  </si>
  <si>
    <t xml:space="preserve">Budžeta iestāžu ieņēmumi </t>
  </si>
  <si>
    <t>Valsts un pašvaldību transferti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</si>
  <si>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</si>
  <si>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</si>
  <si>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</si>
  <si>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</si>
  <si>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</si>
  <si>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 un tūrisma centrs</t>
  </si>
  <si>
    <t>Ziemeļlatgales biznesa un tūrisma centrs</t>
  </si>
  <si>
    <t>Sociālie pakalpojumi</t>
  </si>
  <si>
    <t>Erasmus + projekts Bērzpils vidusskola</t>
  </si>
  <si>
    <t>Programma "Latvijas skolas soma"</t>
  </si>
  <si>
    <t>LV-RU pārrobežu sadarbības projekts "Veco parku jaunā dzīve: efektīva vēsturisko dabas objektu apsaimniekošana Latvijas-Krievijas pierobežā""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</si>
  <si>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</si>
  <si>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</si>
  <si>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</si>
  <si>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</si>
  <si>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</si>
  <si>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</si>
  <si>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</si>
  <si>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</si>
  <si>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</si>
  <si>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</si>
  <si>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</si>
  <si>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05.000</t>
  </si>
  <si>
    <t>Vides aizsardzība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</si>
  <si>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</si>
  <si>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</si>
  <si>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</si>
  <si>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</si>
  <si>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</si>
  <si>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ERASMUS+ projekts Balvu profesionālā un vispārizglītojošā vidusskola 2020-1-ES01-KA229- 078654_2</t>
  </si>
  <si>
    <t>Erasmus+ programmas Pamatdarbības Nr.2 (KA 2) skolu apmaiņas partnerību projekta Nr.2020-1-TR01- KA229-094355_2(Balvu sākumskola)</t>
  </si>
  <si>
    <t>ERASMUS+ projekts Balvu profesionālā un vispārizglītojošā vidusskola 2020-1-BG01-KA229- 079124_4</t>
  </si>
  <si>
    <t>ERASMUS+ projekts Balvu profesionālā un vispārizglītojošā vidusskola 2020-1-IT02-KA229-079175_3</t>
  </si>
  <si>
    <t>Daudzfunkcionālais sociālo pakalpojumu centrs</t>
  </si>
  <si>
    <t>LV-LT pārrobežu sadarbības projekts "Amatu prasmes tūrisma telpā"</t>
  </si>
  <si>
    <t>LV-RU pārrobežu sadarbības projekts "Veco parku jaunā dzīve: efektīva vēsturisko dabas objektu apsaimniekošana Latvijas-Krievijas pierobežā"</t>
  </si>
  <si>
    <t>Jauniveidojamās novada pašvaldības teritorijas attīstības plānošanas dokumentu projekta izstrāde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</si>
  <si>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</si>
  <si>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</si>
  <si>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</si>
  <si>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</si>
  <si>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</si>
  <si>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</si>
  <si>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</si>
  <si>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</si>
  <si>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</si>
  <si>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</si>
  <si>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</si>
  <si>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</si>
  <si>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</si>
  <si>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</si>
  <si>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</si>
  <si>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</si>
  <si>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</si>
  <si>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Vecumu mežsaimniecība</t>
  </si>
  <si>
    <t>Susāju pārvaldes teritorijas apsaimniekošana</t>
  </si>
  <si>
    <t>Medņevas komunālā saimniecība</t>
  </si>
  <si>
    <t>Viļakas pilsētas komunālā saimniecība - 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</si>
  <si>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</si>
  <si>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</si>
  <si>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</si>
  <si>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</si>
  <si>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</si>
  <si>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</si>
  <si>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</si>
  <si>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</si>
  <si>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</si>
  <si>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</si>
  <si>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pagasta teritorijas apsaimniekošana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</si>
  <si>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</si>
  <si>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</si>
  <si>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</si>
  <si>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</si>
  <si>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</si>
  <si>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</si>
  <si>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</si>
  <si>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</si>
  <si>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</si>
  <si>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</si>
  <si>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</si>
  <si>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</si>
  <si>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</si>
  <si>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</si>
  <si>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Vecumu komunālā saimniecība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</si>
  <si>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</si>
  <si>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</si>
  <si>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</si>
  <si>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</si>
  <si>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</si>
  <si>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Projekts "Dzīvo vesels"-veselīga dzīvesveida un  profilakses veicināšanas pasākumi Rugāju novada iedzīvotājiem</t>
  </si>
  <si>
    <t>Skujetnieku FVP</t>
  </si>
  <si>
    <t>Kultūrvēsturiskā lauku sēta "Vēršukalns"</t>
  </si>
  <si>
    <t>Viļakas muzejs</t>
  </si>
  <si>
    <t xml:space="preserve">Rugāju muzejs  </t>
  </si>
  <si>
    <t>Rugāju  pagasta pārvalde</t>
  </si>
  <si>
    <t>Lazdukalna pagasta pārvalde</t>
  </si>
  <si>
    <t>Rugāju pagasta pārvalde</t>
  </si>
  <si>
    <t>Algotie pagaidu sabiedriskie darbi</t>
  </si>
  <si>
    <t>Projekts "Greenways Riga-Pskov""LV-RU 006</t>
  </si>
  <si>
    <t>Balkanu Dabas parks</t>
  </si>
  <si>
    <t>Notekūdeņu apsaimniekošana (Baltinava)</t>
  </si>
  <si>
    <t>Parka apsaimniekošana (Baltinava)</t>
  </si>
  <si>
    <t>Notekūdeņu apsaimniekošana (Rugāju pagastā)</t>
  </si>
  <si>
    <t>Notekūdeņu apsaimniekošana (Lazdukalna pagastā)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</si>
  <si>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</si>
  <si>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</si>
  <si>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</si>
  <si>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</si>
  <si>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</si>
  <si>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</si>
  <si>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</si>
  <si>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</si>
  <si>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</si>
  <si>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</si>
  <si>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</si>
  <si>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</si>
  <si>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Skujetnieku feldšeru veselības punkts</t>
  </si>
  <si>
    <t>Zobārstniecības kabinets (Rugāji)</t>
  </si>
  <si>
    <t>Projekts "Dzīvo aktīvs Baltinavā"</t>
  </si>
  <si>
    <t>Kupravas feldšeru punkts</t>
  </si>
  <si>
    <t>Upītes feldšeru-vecmāšu punkts</t>
  </si>
  <si>
    <t>Baltinavas muzejs</t>
  </si>
  <si>
    <t>Baltinavas kultūras nams</t>
  </si>
  <si>
    <t>Susāju kultūras pasākumi</t>
  </si>
  <si>
    <t xml:space="preserve"> Borisovas kultūras pasākumi</t>
  </si>
  <si>
    <t>Žīguru kultūras nams</t>
  </si>
  <si>
    <t>Viļakas kultūras nams</t>
  </si>
  <si>
    <t>Nemateriālās kultūras mantojuma centrs "Upīte" - tautas nams</t>
  </si>
  <si>
    <t>Medņevas Tautas nams</t>
  </si>
  <si>
    <t>Kupravas kultūras pasākumi</t>
  </si>
  <si>
    <t>Šķilbēnu pagasta kultūras centrs "Rekova"</t>
  </si>
  <si>
    <t>A/m FORD Transit LM8756</t>
  </si>
  <si>
    <t>Skolēnu pārvadāšana Šķilbēnu pārvalde</t>
  </si>
  <si>
    <t>Skolēnu pārvadāšana Susāju pārvalde</t>
  </si>
  <si>
    <t>Viļakas mūzikas un mākslas skola</t>
  </si>
  <si>
    <t>Viļakas bērnu un jaunatnes sporta skola</t>
  </si>
  <si>
    <t>Žīguru pamatskola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</si>
  <si>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</si>
  <si>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</si>
  <si>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</si>
  <si>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</si>
  <si>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</si>
  <si>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</si>
  <si>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Rugāju Sporta centrs</t>
  </si>
  <si>
    <t>Izglītības pārvalde</t>
  </si>
  <si>
    <t xml:space="preserve">Projekts "Atbalsts priekšlaicīgas mācību pārtraukšanas samazināšanai" </t>
  </si>
  <si>
    <t>Baltinavas mūzikas un mākslas skola</t>
  </si>
  <si>
    <t>Baltinavas vidusskola</t>
  </si>
  <si>
    <t>Viļakas Valsts ģimnāzija</t>
  </si>
  <si>
    <t>LV-LT pārrobežu sadarbības projekts "RoboNet"</t>
  </si>
  <si>
    <t>Eglaines pamatkola</t>
  </si>
  <si>
    <t>Viļakas NMP</t>
  </si>
  <si>
    <t>Veļas mazgāšanas pakalpojumi (Rugāji)</t>
  </si>
  <si>
    <t>LV-RU pārrobežu sadarbības projekts "No hobija uz biznesu" (Baltinava)</t>
  </si>
  <si>
    <t>Baltinavas kultūras pasākumi</t>
  </si>
  <si>
    <t>Specializētā a/m Volvo V70 reģ. Nr.KF9076</t>
  </si>
  <si>
    <t>Bērzpils pamatskola</t>
  </si>
  <si>
    <t>Vidzemes un Tautas ielu posmu atjaunošana Balvos</t>
  </si>
  <si>
    <t>3.pielikums</t>
  </si>
  <si>
    <t>4.pielikums</t>
  </si>
  <si>
    <t>Borisovas kultūras pasākumi</t>
  </si>
  <si>
    <t>VKKF "Izzinošas mobilās lietotnes BALTINAVA ZOOM izstrāde Baltinavas novada kultūrvēsturiskā mantojuma aktīvai iepazīšanai"</t>
  </si>
  <si>
    <t>Rugāju vidusskola</t>
  </si>
  <si>
    <t>Muižas apbūves kompleksa pārbūve 1.kārta</t>
  </si>
  <si>
    <t>Bērzu ielas posma projekta pārbūve un autostāvvietas seguma atjaunošana Skolas ielā Balvu pilsētā</t>
  </si>
  <si>
    <t>Degradēto teritoriju revitalizācija Austrumu pierobežā</t>
  </si>
  <si>
    <t>"Par Balvu novada pašvaldības 2022.gada budžetu"</t>
  </si>
  <si>
    <t>Balvu novada pašvaldības pamatbudžeta izdevumi 2022.gadam (EUR)</t>
  </si>
  <si>
    <t>Ziemeļlatgales sporta centrs</t>
  </si>
  <si>
    <t>Izglītības pārvaldes pasākumi</t>
  </si>
  <si>
    <t>Transporta infrastruktūras uzlabošana uzņēmējdarbības atbalstam</t>
  </si>
  <si>
    <t>Vides sakārtošana uzņēmējdarbības attīsībai Balvu novadā</t>
  </si>
  <si>
    <t xml:space="preserve">ERAF projekts Vides sakārtošana uzņēmējdarbības attīstībai Balvu novadā </t>
  </si>
  <si>
    <t>Baltinavas ciema pašvaldības ielu atjaunošanas darbi</t>
  </si>
  <si>
    <t>08.600</t>
  </si>
  <si>
    <t>Balvu kultūras un atpūtas centra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</si>
  <si>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</si>
  <si>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</si>
  <si>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</si>
  <si>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</si>
  <si>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</si>
  <si>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</si>
  <si>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 xml:space="preserve">Lazdukalna pagasta apgaismojuma un ietvju uzturēšana </t>
  </si>
  <si>
    <t xml:space="preserve">Rugāju pagasta apgaismojuma un ietvju uzturēšana </t>
  </si>
  <si>
    <t>Atkritumu apsaimniekošana Baltinavas pagastā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</si>
  <si>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</si>
  <si>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</si>
  <si>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</si>
  <si>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</si>
  <si>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</si>
  <si>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</si>
  <si>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</si>
  <si>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Biznesa ideju konkurss</t>
  </si>
  <si>
    <t>Nemateriālās kultūras mantojuma centrs "Upīte"</t>
  </si>
  <si>
    <t>Rugāju tautas nams</t>
  </si>
  <si>
    <t>ERASMUS+ projekts Balvu profesionālā un vispārizglītojošā vidusskola (KA 1)</t>
  </si>
  <si>
    <t xml:space="preserve">Projekts “RoboNet" 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</si>
  <si>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</si>
  <si>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</si>
  <si>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</si>
  <si>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</si>
  <si>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</si>
  <si>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</si>
  <si>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</si>
  <si>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</si>
  <si>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</si>
  <si>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</si>
  <si>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</si>
  <si>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</si>
  <si>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</si>
  <si>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</si>
  <si>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</si>
  <si>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Lazdulejas saieta nams</t>
  </si>
  <si>
    <t>Ziemeļlatgales sporta centra pasākumi</t>
  </si>
  <si>
    <t>Bērzpils pamatskolas Krišjāņu pirmsskolas grupa</t>
  </si>
  <si>
    <t>Atbalsts reliģisko organizāciju darbībai</t>
  </si>
  <si>
    <t>Reliģisko organizāciju atbalsts</t>
  </si>
  <si>
    <t>Balvu novada muzejs</t>
  </si>
  <si>
    <t>Vectilžas Sporta un atpūtas centrs</t>
  </si>
  <si>
    <t>Skolēnu pārvadājumi Vectilžas pagastā</t>
  </si>
  <si>
    <t>PROTI UN DARI!</t>
  </si>
  <si>
    <t>Skolēnu pārvadājumi Baltinavas pagastā</t>
  </si>
  <si>
    <t>Skolēnu pārvadāšana Viļakā</t>
  </si>
  <si>
    <t>Komisiju darba samaksa</t>
  </si>
  <si>
    <t>Kapsētu apsaimniekošana Baltinavas pagastā</t>
  </si>
  <si>
    <t>Skolēnu pārvadājumi Kubulu pagastā</t>
  </si>
  <si>
    <t>Projekts "Veselības veicināšanas un slimību profilakses pasākumi Viļakā un apkaimē"</t>
  </si>
  <si>
    <t>Baltinavas pagasta teritorijas apsiamniekošana</t>
  </si>
  <si>
    <t>Skolēnu pārvadājumi Tilžas pagastā</t>
  </si>
  <si>
    <t>Viļakas pilsētas komunālā saimniecība-notekūdenu apsaimniekošana</t>
  </si>
  <si>
    <t>Kapsētu apsaimniekošana (Baltinava)</t>
  </si>
  <si>
    <t>Tilžas kultūras un vēstures nams</t>
  </si>
  <si>
    <t>Vidzemes un Tautas ielu posmu pārbūve</t>
  </si>
  <si>
    <t>Balvu Bērnu un jauniešu centra datortehnikas aprīkojuma iegāde</t>
  </si>
  <si>
    <t xml:space="preserve">Nacionālo partizānu mītnes vietnes (pilsētiņas) Stompaku purvā atjaunošana </t>
  </si>
  <si>
    <t>Nacionālo partizānu mītnes vietnes (pilsētiņas) Stompaku purvā atjaunošana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</si>
  <si>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</si>
  <si>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</si>
  <si>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</si>
  <si>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</si>
  <si>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</si>
  <si>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</si>
  <si>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</si>
  <si>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</si>
  <si>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</si>
  <si>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</si>
  <si>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</si>
  <si>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Projekts Erasmus+ Rugāju vidusskola Nr.2021-1-LV01-KA121-SCH-000006935</t>
  </si>
  <si>
    <t>Projekts ERASMUS+  "Math un Techology" Rugāju vidusskola</t>
  </si>
  <si>
    <t>Projekts ERASMUS+ "Math un Techology" Rugāju vidusskola</t>
  </si>
  <si>
    <t>"GreenPalette" LV-RU-II-053 projekts (Balvi)</t>
  </si>
  <si>
    <t>"GreenPalette" LV-RU-II-053 projekts (Viļaka)</t>
  </si>
  <si>
    <t>Ventilācijas sistēmas izbūve 
Rugāju novada vidusskolā</t>
  </si>
  <si>
    <t xml:space="preserve">LV-RU pārrobežu sadarbības projekts "No hobija uz biznesu" </t>
  </si>
  <si>
    <t>#Labsvaibs</t>
  </si>
  <si>
    <t>Balvu novada pašvaldības 2022.gada  pamatbudžeta izdevumi atbilstoši ekonomiskajām kategorijām (EUR)</t>
  </si>
  <si>
    <t xml:space="preserve">PROTI UN DARI! </t>
  </si>
  <si>
    <t>Apstiprināts 2022.gadam (EUR)</t>
  </si>
  <si>
    <t>Mobilā darba ar jaunatni sistēmas izveide Balvu novadā</t>
  </si>
  <si>
    <t>6.Starptautiskais mākslas plenērs Valdis Bušs 2022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</si>
  <si>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</si>
  <si>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</si>
  <si>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</si>
  <si>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</si>
  <si>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Nodibinājums "Fonds Sibīrijas bērni"</t>
  </si>
  <si>
    <t>Balvu Teritoriālā Invalīdu biedrība</t>
  </si>
  <si>
    <t>Dotācijas biedrībām aktivitāšu atbalstam</t>
  </si>
  <si>
    <t>Erasmus+ programmas Pamatdarbības Nr.2 (KA 2) skolu apmaiņas partnerību projekta Nr. 2020-1-TR01-KA229-094355_2 (Balvu sākumskola)</t>
  </si>
  <si>
    <t>Latvijas Sarkana krusta Balvu komiteja</t>
  </si>
  <si>
    <t>Bērzpils pamatskolas pirmsskolas izglītības grupa Krišjāņos</t>
  </si>
  <si>
    <t>Grozījumi</t>
  </si>
  <si>
    <t>Balvu novada vēlēšanu komisija</t>
  </si>
  <si>
    <t>grozījumi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</si>
  <si>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</si>
  <si>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</si>
  <si>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</si>
  <si>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</si>
  <si>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Atbalsts Ukrainas civiliedzīvotājiem - izmītināšanas un ēdināšanas izdevumiem</t>
  </si>
  <si>
    <t>"Grozījumi 2022.gada 2.februāra saistošajos noteikumos Nr.4/2022</t>
  </si>
  <si>
    <t>"Par Balvu novada pašvaldības budžetu 2022.gadam""</t>
  </si>
  <si>
    <t>2022.gada 2.februāra saistošajiem noteikumiem Nr.4/2022</t>
  </si>
  <si>
    <t>Atbalsts majsaimniecībām apkures izdevumu kompenesēšanai</t>
  </si>
  <si>
    <t>Projekts "Tehniskā aprīkojuma iegāde virszemes ūdeņu kvalitātes uzlabošanai"</t>
  </si>
  <si>
    <t>Sociālie pabalsti</t>
  </si>
  <si>
    <t>Baltinavas muzeja ēkas energoefektivitātes paaugstināšana</t>
  </si>
  <si>
    <t>Rugāju pagasta pārvaldes ēkas energoefektivitātes paaugstināšana</t>
  </si>
  <si>
    <t>Pašvaldības infrastruktūras attīstība, uzlabojot pakalpojumu efektivitāti "Upītes Kulturtelpā"</t>
  </si>
  <si>
    <t>KKF projektu īstenošana Balvu Kultūras un atpūtas centrā</t>
  </si>
  <si>
    <t>Projekts "Flīģeļa iegāde Baltinavas Mūzikas un mākslas skolai"</t>
  </si>
  <si>
    <t>Projekts "Baritona saksofona iegāde Balvu Mūzikas skolai"</t>
  </si>
  <si>
    <t>Muižas apbūves kompleksa pārbūve 2.kārta</t>
  </si>
  <si>
    <t>KKF projektu īstenošana Balvu novada muzejā</t>
  </si>
  <si>
    <t>Balvu novada domes</t>
  </si>
  <si>
    <t xml:space="preserve">Domes priekšsēdētājs                                                                                              S.Maksimovs                                               </t>
  </si>
  <si>
    <t>Atbalsts iedzīvotājiem no līdzekļiem neparedzētiem gadījumiem</t>
  </si>
  <si>
    <t>ERASMUS+ projekts Balvu Profesionālajai un vispārizglītojošajai vidusskolai Nr. 2020-1-UK01-KA201-078833-04</t>
  </si>
  <si>
    <t>Skolēnu nodarbinātība vasarā</t>
  </si>
  <si>
    <t>Domes priekšsēdētājs                                                                                      S.Maksimovs</t>
  </si>
  <si>
    <t>2022.gada 22.decembra saistošajiem noteikumiem Nr.41/2022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</si>
</sst>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/>
    <xf numFmtId="0" fontId="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top"/>
    </xf>
    <xf numFmtId="1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/>
    <xf numFmtId="0" fontId="12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1" fontId="3" fillId="2" borderId="1" xfId="0" applyNumberFormat="1" applyFont="1" applyFill="1" applyBorder="1" applyAlignment="1">
      <alignment vertical="top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" fontId="12" fillId="0" borderId="1" xfId="0" applyNumberFormat="1" applyFont="1" applyBorder="1" applyAlignment="1">
      <alignment vertical="top"/>
    </xf>
    <xf numFmtId="1" fontId="12" fillId="0" borderId="1" xfId="0" applyNumberFormat="1" applyFont="1" applyBorder="1" applyAlignment="1">
      <alignment horizontal="left" vertical="top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vertical="center" wrapText="1"/>
    </xf>
    <xf numFmtId="1" fontId="12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1" fontId="13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1" fontId="12" fillId="2" borderId="1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/>
    <xf numFmtId="0" fontId="5" fillId="2" borderId="1" xfId="0" applyFont="1" applyFill="1" applyBorder="1"/>
    <xf numFmtId="1" fontId="7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vertical="top" wrapText="1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1" fontId="5" fillId="2" borderId="0" xfId="0" applyNumberFormat="1" applyFont="1" applyFill="1"/>
    <xf numFmtId="0" fontId="7" fillId="2" borderId="1" xfId="0" applyFont="1" applyFill="1" applyBorder="1" applyAlignment="1">
      <alignment horizontal="center" vertical="center" wrapText="1"/>
    </xf>
    <xf numFmtId="1" fontId="0" fillId="2" borderId="0" xfId="0" applyNumberFormat="1" applyFill="1"/>
    <xf numFmtId="0" fontId="7" fillId="2" borderId="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right" wrapText="1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/>
    <xf numFmtId="0" fontId="5" fillId="2" borderId="4" xfId="0" applyFont="1" applyFill="1" applyBorder="1"/>
    <xf numFmtId="1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0" fillId="2" borderId="1" xfId="0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7" fillId="2" borderId="1" xfId="0" applyFont="1" applyFill="1" applyBorder="1"/>
    <xf numFmtId="0" fontId="7" fillId="2" borderId="4" xfId="0" applyFont="1" applyFill="1" applyBorder="1" applyAlignment="1">
      <alignment vertical="top" wrapText="1"/>
    </xf>
    <xf numFmtId="164" fontId="7" fillId="2" borderId="1" xfId="18" applyFont="1" applyFill="1" applyBorder="1" applyAlignment="1">
      <alignment horizontal="center" vertical="top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1" fontId="4" fillId="0" borderId="1" xfId="0" applyNumberFormat="1" applyFont="1" applyBorder="1" applyAlignment="1">
      <alignment horizontal="center" vertical="top"/>
    </xf>
    <xf numFmtId="0" fontId="15" fillId="3" borderId="1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vertical="top" wrapText="1"/>
    </xf>
    <xf numFmtId="0" fontId="12" fillId="3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5" fillId="0" borderId="1" xfId="0" applyFont="1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alcChain" Target="calcChain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5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e1208e-1bcf-4ea1-b343-377b4bc88f2a}">
  <dimension ref="A1:J355"/>
  <sheetViews>
    <sheetView zoomScale="89" zoomScaleNormal="89" workbookViewId="0" topLeftCell="A61">
      <selection pane="topLeft" activeCell="G3" sqref="G3"/>
    </sheetView>
  </sheetViews>
  <sheetFormatPr defaultColWidth="9.144285714285713" defaultRowHeight="15"/>
  <cols>
    <col min="1" max="1" width="15.428571428571429" style="67" customWidth="1"/>
    <col min="2" max="2" width="34.714285714285715" style="67" customWidth="1"/>
    <col min="3" max="3" width="17.428571428571427" style="67" customWidth="1"/>
    <col min="4" max="4" width="15.714285714285714" style="67" customWidth="1"/>
    <col min="5" max="5" width="17.428571428571427" style="67" customWidth="1"/>
    <col min="6" max="6" width="16.857142857142858" style="67" customWidth="1"/>
    <col min="7" max="7" width="17.714285714285715" style="67" customWidth="1"/>
    <col min="8" max="8" width="11.285714285714286" style="67" customWidth="1"/>
    <col min="9" max="9" width="12.714285714285714" style="67" customWidth="1"/>
    <col min="10" max="16384" width="9.142857142857142" style="67"/>
  </cols>
  <sheetData>
    <row r="1" spans="7:7" ht="15.75">
      <c r="G1" s="78" t="s">
        <v>279</v>
      </c>
    </row>
    <row r="2" spans="7:7" ht="15.75">
      <c r="G2" s="79" t="s">
        <v>413</v>
      </c>
    </row>
    <row r="3" spans="7:7" ht="15.75">
      <c r="G3" s="79" t="s">
        <v>419</v>
      </c>
    </row>
    <row r="4" spans="7:7" ht="15.75">
      <c r="G4" s="79" t="s">
        <v>399</v>
      </c>
    </row>
    <row r="5" spans="7:7" ht="15.75">
      <c r="G5" s="79" t="s">
        <v>400</v>
      </c>
    </row>
    <row r="6" spans="1:10" ht="15.75">
      <c r="A6" s="80"/>
      <c r="B6" s="80"/>
      <c r="C6" s="78"/>
      <c r="D6" s="78"/>
      <c r="E6" s="80"/>
      <c r="F6" s="78"/>
      <c r="H6" s="78"/>
      <c r="I6" s="78"/>
      <c r="J6" s="78"/>
    </row>
    <row r="7" spans="1:10" ht="15.75" customHeight="1">
      <c r="A7" s="80"/>
      <c r="B7" s="80"/>
      <c r="C7" s="79"/>
      <c r="D7" s="79"/>
      <c r="E7" s="80"/>
      <c r="F7" s="79"/>
      <c r="G7" s="78" t="s">
        <v>279</v>
      </c>
      <c r="H7" s="79"/>
      <c r="I7" s="79"/>
      <c r="J7" s="79"/>
    </row>
    <row r="8" spans="1:10" ht="15.75" customHeight="1">
      <c r="A8" s="80"/>
      <c r="B8" s="80"/>
      <c r="C8" s="79"/>
      <c r="D8" s="79"/>
      <c r="E8" s="80"/>
      <c r="F8" s="79"/>
      <c r="G8" s="79" t="s">
        <v>413</v>
      </c>
      <c r="H8" s="79"/>
      <c r="I8" s="79"/>
      <c r="J8" s="79"/>
    </row>
    <row r="9" spans="1:10" ht="15.75" customHeight="1">
      <c r="A9" s="80"/>
      <c r="B9" s="80"/>
      <c r="C9" s="80"/>
      <c r="D9" s="80"/>
      <c r="E9" s="80"/>
      <c r="F9" s="80"/>
      <c r="G9" s="79" t="s">
        <v>401</v>
      </c>
      <c r="H9" s="80"/>
      <c r="I9" s="80"/>
      <c r="J9" s="80"/>
    </row>
    <row r="10" spans="1:7" ht="15.75" customHeight="1">
      <c r="A10" s="80"/>
      <c r="B10" s="80"/>
      <c r="C10" s="80"/>
      <c r="D10" s="80"/>
      <c r="E10" s="80"/>
      <c r="F10" s="80"/>
      <c r="G10" s="79" t="s">
        <v>287</v>
      </c>
    </row>
    <row r="11" spans="1:7" ht="15.75" customHeight="1">
      <c r="A11" s="80"/>
      <c r="B11" s="12"/>
      <c r="C11" s="12"/>
      <c r="D11" s="12"/>
      <c r="E11" s="12"/>
      <c r="F11" s="12"/>
      <c r="G11" s="80"/>
    </row>
    <row r="12" spans="1:7" ht="18.75">
      <c r="A12" s="80"/>
      <c r="B12" s="13" t="s">
        <v>288</v>
      </c>
      <c r="C12" s="13"/>
      <c r="D12" s="13"/>
      <c r="E12" s="13"/>
      <c r="F12" s="13"/>
      <c r="G12" s="80"/>
    </row>
    <row r="13" spans="1:7" ht="15.75">
      <c r="A13" s="80"/>
      <c r="B13" s="81"/>
      <c r="C13" s="82"/>
      <c r="D13" s="82"/>
      <c r="E13" s="82"/>
      <c r="F13" s="82"/>
      <c r="G13" s="83"/>
    </row>
    <row r="14" spans="1:7" ht="15.75" customHeight="1">
      <c r="A14" s="6" t="s">
        <v>61</v>
      </c>
      <c r="B14" s="6" t="s">
        <v>62</v>
      </c>
      <c r="C14" s="9" t="s">
        <v>115</v>
      </c>
      <c r="D14" s="8"/>
      <c r="E14" s="8"/>
      <c r="F14" s="7"/>
      <c r="G14" s="11" t="s">
        <v>117</v>
      </c>
    </row>
    <row r="15" spans="1:8" ht="47.25">
      <c r="A15" s="5"/>
      <c r="B15" s="5"/>
      <c r="C15" s="84" t="s">
        <v>118</v>
      </c>
      <c r="D15" s="84" t="s">
        <v>119</v>
      </c>
      <c r="E15" s="84" t="s">
        <v>120</v>
      </c>
      <c r="F15" s="84" t="s">
        <v>107</v>
      </c>
      <c r="G15" s="10"/>
      <c r="H15" s="85"/>
    </row>
    <row r="16" spans="1:7" ht="15.75">
      <c r="A16" s="86"/>
      <c r="B16" s="87"/>
      <c r="C16" s="88">
        <f>C17+C50+C54+C110+C172+C187+C242+C322+C95</f>
        <v>21140771</v>
      </c>
      <c r="D16" s="88">
        <f>D17+D50+D54+D110+D172+D187+D242+D322+D95</f>
        <v>3530534</v>
      </c>
      <c r="E16" s="88">
        <f>E17+E50+E54+E110+E172+E187+E242+E322+E95</f>
        <v>10469798</v>
      </c>
      <c r="F16" s="88">
        <f>F17+F50+F54+F110+F172+F187+F242+F322+F95</f>
        <v>2271726</v>
      </c>
      <c r="G16" s="89">
        <f>G17+G50+G54+G110+G172+G187+G242+G322+G95</f>
        <v>37412829</v>
      </c>
    </row>
    <row r="17" spans="1:7" ht="15.75">
      <c r="A17" s="90" t="s">
        <v>63</v>
      </c>
      <c r="B17" s="91" t="s">
        <v>64</v>
      </c>
      <c r="C17" s="75">
        <f>SUM(C18:C49)</f>
        <v>3243468</v>
      </c>
      <c r="D17" s="75">
        <f>SUM(D18:D49)</f>
        <v>9885</v>
      </c>
      <c r="E17" s="75">
        <f>SUM(E18:E49)</f>
        <v>382556</v>
      </c>
      <c r="F17" s="75">
        <f>SUM(F18:F49)</f>
        <v>0</v>
      </c>
      <c r="G17" s="89">
        <f>SUM(G18:G49)</f>
        <v>3635909</v>
      </c>
    </row>
    <row r="18" spans="1:7" ht="15.75">
      <c r="A18" s="76"/>
      <c r="B18" s="92" t="s">
        <v>1</v>
      </c>
      <c r="C18" s="93">
        <f t="shared" si="0" ref="C18:C49">=G18-D18-F18-E18</f>
        <v>1713632</v>
      </c>
      <c r="D18" s="74">
        <v>0</v>
      </c>
      <c r="E18" s="74">
        <v>0</v>
      </c>
      <c r="F18" s="74">
        <v>0</v>
      </c>
      <c r="G18" s="89">
        <f>'4.pielikums'!B18</f>
        <v>1713632</v>
      </c>
    </row>
    <row r="19" spans="1:7" ht="15.75">
      <c r="A19" s="76"/>
      <c r="B19" s="92" t="s">
        <v>2</v>
      </c>
      <c r="C19" s="93">
        <f t="shared" si="0"/>
        <v>168262</v>
      </c>
      <c r="D19" s="74"/>
      <c r="E19" s="74"/>
      <c r="F19" s="74"/>
      <c r="G19" s="89">
        <f>'4.pielikums'!B20</f>
        <v>168262</v>
      </c>
    </row>
    <row r="20" spans="1:7" ht="31.5">
      <c r="A20" s="76"/>
      <c r="B20" s="94" t="s">
        <v>299</v>
      </c>
      <c r="C20" s="93">
        <f t="shared" si="0"/>
        <v>192937</v>
      </c>
      <c r="D20" s="74"/>
      <c r="E20" s="74"/>
      <c r="F20" s="74"/>
      <c r="G20" s="89">
        <f>'4.pielikums'!B21</f>
        <v>192937</v>
      </c>
    </row>
    <row r="21" spans="1:7" ht="15.75">
      <c r="A21" s="76"/>
      <c r="B21" s="94" t="s">
        <v>344</v>
      </c>
      <c r="C21" s="93">
        <f t="shared" si="0"/>
        <v>32330</v>
      </c>
      <c r="D21" s="74"/>
      <c r="E21" s="74"/>
      <c r="F21" s="74"/>
      <c r="G21" s="89">
        <f>'4.pielikums'!B23</f>
        <v>32330</v>
      </c>
    </row>
    <row r="22" spans="1:7" ht="15.75">
      <c r="A22" s="76"/>
      <c r="B22" s="94" t="s">
        <v>331</v>
      </c>
      <c r="C22" s="93">
        <f t="shared" si="0"/>
        <v>27177</v>
      </c>
      <c r="D22" s="74"/>
      <c r="E22" s="74"/>
      <c r="F22" s="74"/>
      <c r="G22" s="89">
        <f>'4.pielikums'!B25</f>
        <v>27177</v>
      </c>
    </row>
    <row r="23" spans="1:7" ht="15.75">
      <c r="A23" s="76"/>
      <c r="B23" s="92" t="s">
        <v>3</v>
      </c>
      <c r="C23" s="93">
        <f t="shared" si="0"/>
        <v>32883</v>
      </c>
      <c r="D23" s="74">
        <v>750</v>
      </c>
      <c r="E23" s="74"/>
      <c r="F23" s="74"/>
      <c r="G23" s="89">
        <f>'4.pielikums'!B26</f>
        <v>33633</v>
      </c>
    </row>
    <row r="24" spans="1:7" ht="15.75">
      <c r="A24" s="76"/>
      <c r="B24" s="92" t="s">
        <v>168</v>
      </c>
      <c r="C24" s="93">
        <f t="shared" si="0"/>
        <v>68223</v>
      </c>
      <c r="D24" s="74"/>
      <c r="E24" s="74"/>
      <c r="F24" s="74"/>
      <c r="G24" s="89">
        <f>'4.pielikums'!B27</f>
        <v>68223</v>
      </c>
    </row>
    <row r="25" spans="1:7" ht="15.75">
      <c r="A25" s="76"/>
      <c r="B25" s="92" t="s">
        <v>4</v>
      </c>
      <c r="C25" s="93">
        <f t="shared" si="0"/>
        <v>32337</v>
      </c>
      <c r="D25" s="74">
        <v>0</v>
      </c>
      <c r="E25" s="74"/>
      <c r="F25" s="74"/>
      <c r="G25" s="89">
        <f>'4.pielikums'!B28</f>
        <v>32337</v>
      </c>
    </row>
    <row r="26" spans="1:7" ht="15.75">
      <c r="A26" s="76"/>
      <c r="B26" s="92" t="s">
        <v>5</v>
      </c>
      <c r="C26" s="93">
        <f t="shared" si="0"/>
        <v>48381</v>
      </c>
      <c r="D26" s="74">
        <v>540</v>
      </c>
      <c r="E26" s="74"/>
      <c r="F26" s="74"/>
      <c r="G26" s="89">
        <f>'4.pielikums'!B29</f>
        <v>48921</v>
      </c>
    </row>
    <row r="27" spans="1:7" ht="15.75">
      <c r="A27" s="76"/>
      <c r="B27" s="92" t="s">
        <v>6</v>
      </c>
      <c r="C27" s="93">
        <f t="shared" si="0"/>
        <v>40980</v>
      </c>
      <c r="D27" s="74"/>
      <c r="E27" s="74"/>
      <c r="F27" s="74"/>
      <c r="G27" s="89">
        <f>'4.pielikums'!B30</f>
        <v>40980</v>
      </c>
    </row>
    <row r="28" spans="1:7" ht="15.75">
      <c r="A28" s="76"/>
      <c r="B28" s="92" t="s">
        <v>7</v>
      </c>
      <c r="C28" s="93">
        <f t="shared" si="0"/>
        <v>38324</v>
      </c>
      <c r="D28" s="74">
        <v>100</v>
      </c>
      <c r="E28" s="74"/>
      <c r="F28" s="74"/>
      <c r="G28" s="89">
        <f>'4.pielikums'!B31</f>
        <v>38424</v>
      </c>
    </row>
    <row r="29" spans="1:7" ht="15.75">
      <c r="A29" s="76"/>
      <c r="B29" s="92" t="s">
        <v>8</v>
      </c>
      <c r="C29" s="93">
        <f t="shared" si="0"/>
        <v>41522</v>
      </c>
      <c r="D29" s="74">
        <v>0</v>
      </c>
      <c r="E29" s="74"/>
      <c r="F29" s="74"/>
      <c r="G29" s="89">
        <f>'4.pielikums'!B32</f>
        <v>41522</v>
      </c>
    </row>
    <row r="30" spans="1:7" ht="15.75">
      <c r="A30" s="76"/>
      <c r="B30" s="92" t="s">
        <v>169</v>
      </c>
      <c r="C30" s="93">
        <f t="shared" si="0"/>
        <v>39813</v>
      </c>
      <c r="D30" s="74">
        <v>0</v>
      </c>
      <c r="E30" s="74"/>
      <c r="F30" s="74"/>
      <c r="G30" s="89">
        <f>'4.pielikums'!B33</f>
        <v>39813</v>
      </c>
    </row>
    <row r="31" spans="1:7" ht="15.75">
      <c r="A31" s="76"/>
      <c r="B31" s="92" t="s">
        <v>216</v>
      </c>
      <c r="C31" s="93">
        <f t="shared" si="0"/>
        <v>52841</v>
      </c>
      <c r="D31" s="74"/>
      <c r="E31" s="74"/>
      <c r="F31" s="74"/>
      <c r="G31" s="89">
        <f>'4.pielikums'!B34</f>
        <v>52841</v>
      </c>
    </row>
    <row r="32" spans="1:7" ht="15.75">
      <c r="A32" s="76"/>
      <c r="B32" s="92" t="s">
        <v>9</v>
      </c>
      <c r="C32" s="93">
        <f t="shared" si="0"/>
        <v>25560</v>
      </c>
      <c r="D32" s="74"/>
      <c r="E32" s="74"/>
      <c r="F32" s="74"/>
      <c r="G32" s="89">
        <f>'4.pielikums'!B36</f>
        <v>25560</v>
      </c>
    </row>
    <row r="33" spans="1:7" ht="15.75">
      <c r="A33" s="76"/>
      <c r="B33" s="94" t="s">
        <v>170</v>
      </c>
      <c r="C33" s="93">
        <f t="shared" si="0"/>
        <v>48008</v>
      </c>
      <c r="D33" s="74">
        <v>190</v>
      </c>
      <c r="E33" s="74"/>
      <c r="F33" s="74"/>
      <c r="G33" s="89">
        <f>'4.pielikums'!B37</f>
        <v>48198</v>
      </c>
    </row>
    <row r="34" spans="1:7" ht="15.75">
      <c r="A34" s="76"/>
      <c r="B34" s="94" t="s">
        <v>215</v>
      </c>
      <c r="C34" s="93">
        <f t="shared" si="0"/>
        <v>84163</v>
      </c>
      <c r="D34" s="74">
        <v>0</v>
      </c>
      <c r="E34" s="74"/>
      <c r="F34" s="74"/>
      <c r="G34" s="89">
        <f>'4.pielikums'!B38</f>
        <v>84163</v>
      </c>
    </row>
    <row r="35" spans="1:7" ht="24" customHeight="1">
      <c r="A35" s="76"/>
      <c r="B35" s="94" t="s">
        <v>171</v>
      </c>
      <c r="C35" s="93">
        <f t="shared" si="0"/>
        <v>20499</v>
      </c>
      <c r="D35" s="74"/>
      <c r="E35" s="74"/>
      <c r="F35" s="74"/>
      <c r="G35" s="89">
        <f>'4.pielikums'!B40</f>
        <v>20499</v>
      </c>
    </row>
    <row r="36" spans="1:7" ht="24" customHeight="1">
      <c r="A36" s="76"/>
      <c r="B36" s="94" t="s">
        <v>172</v>
      </c>
      <c r="C36" s="93">
        <f t="shared" si="0"/>
        <v>46341</v>
      </c>
      <c r="D36" s="74">
        <f>15+20</f>
        <v>35</v>
      </c>
      <c r="E36" s="74"/>
      <c r="F36" s="74"/>
      <c r="G36" s="89">
        <f>'4.pielikums'!B41</f>
        <v>46376</v>
      </c>
    </row>
    <row r="37" spans="1:7" ht="15.75">
      <c r="A37" s="76"/>
      <c r="B37" s="92" t="s">
        <v>10</v>
      </c>
      <c r="C37" s="93">
        <f t="shared" si="0"/>
        <v>44693</v>
      </c>
      <c r="D37" s="74"/>
      <c r="E37" s="74"/>
      <c r="F37" s="74"/>
      <c r="G37" s="89">
        <f>'4.pielikums'!B42</f>
        <v>44693</v>
      </c>
    </row>
    <row r="38" spans="1:7" ht="15.75">
      <c r="A38" s="76"/>
      <c r="B38" s="92" t="s">
        <v>11</v>
      </c>
      <c r="C38" s="93">
        <f t="shared" si="0"/>
        <v>33524</v>
      </c>
      <c r="D38" s="74">
        <v>120</v>
      </c>
      <c r="E38" s="74"/>
      <c r="F38" s="74"/>
      <c r="G38" s="89">
        <f>'4.pielikums'!B43</f>
        <v>33644</v>
      </c>
    </row>
    <row r="39" spans="1:7" ht="15.75">
      <c r="A39" s="76"/>
      <c r="B39" s="92" t="s">
        <v>173</v>
      </c>
      <c r="C39" s="93">
        <f t="shared" si="0"/>
        <v>35328</v>
      </c>
      <c r="D39" s="74"/>
      <c r="E39" s="74"/>
      <c r="F39" s="74"/>
      <c r="G39" s="89">
        <f>'4.pielikums'!B44</f>
        <v>35328</v>
      </c>
    </row>
    <row r="40" spans="1:7" ht="15.75">
      <c r="A40" s="76"/>
      <c r="B40" s="92" t="s">
        <v>12</v>
      </c>
      <c r="C40" s="93">
        <f t="shared" si="0"/>
        <v>39658</v>
      </c>
      <c r="D40" s="74"/>
      <c r="E40" s="74"/>
      <c r="F40" s="74"/>
      <c r="G40" s="89">
        <f>'4.pielikums'!B45</f>
        <v>39658</v>
      </c>
    </row>
    <row r="41" spans="1:7" ht="15.75">
      <c r="A41" s="76"/>
      <c r="B41" s="94" t="s">
        <v>166</v>
      </c>
      <c r="C41" s="93">
        <f t="shared" si="0"/>
        <v>66500</v>
      </c>
      <c r="D41" s="74">
        <v>500</v>
      </c>
      <c r="E41" s="74"/>
      <c r="F41" s="74"/>
      <c r="G41" s="89">
        <f>'4.pielikums'!B46</f>
        <v>67000</v>
      </c>
    </row>
    <row r="42" spans="1:7" ht="15.75">
      <c r="A42" s="76"/>
      <c r="B42" s="94" t="s">
        <v>174</v>
      </c>
      <c r="C42" s="93">
        <f t="shared" si="0"/>
        <v>36521</v>
      </c>
      <c r="D42" s="74"/>
      <c r="E42" s="74"/>
      <c r="F42" s="74"/>
      <c r="G42" s="89">
        <f>'4.pielikums'!B47</f>
        <v>36521</v>
      </c>
    </row>
    <row r="43" spans="1:7" ht="31.5">
      <c r="A43" s="76"/>
      <c r="B43" s="94" t="s">
        <v>167</v>
      </c>
      <c r="C43" s="93">
        <f t="shared" si="0"/>
        <v>74698</v>
      </c>
      <c r="D43" s="74">
        <f>3650+4000</f>
        <v>7650</v>
      </c>
      <c r="E43" s="74">
        <f>37260+1820</f>
        <v>39080</v>
      </c>
      <c r="F43" s="74"/>
      <c r="G43" s="89">
        <f>'4.pielikums'!B48</f>
        <v>121428</v>
      </c>
    </row>
    <row r="44" spans="1:7" ht="51" customHeight="1">
      <c r="A44" s="76"/>
      <c r="B44" s="94" t="s">
        <v>157</v>
      </c>
      <c r="C44" s="93">
        <f t="shared" si="0"/>
        <v>21984</v>
      </c>
      <c r="D44" s="74"/>
      <c r="E44" s="74">
        <v>0</v>
      </c>
      <c r="F44" s="74"/>
      <c r="G44" s="89">
        <f>'4.pielikums'!B55</f>
        <v>21984</v>
      </c>
    </row>
    <row r="45" spans="1:7" ht="51" customHeight="1">
      <c r="A45" s="76"/>
      <c r="B45" s="94" t="s">
        <v>398</v>
      </c>
      <c r="C45" s="93">
        <f t="shared" si="0"/>
        <v>0</v>
      </c>
      <c r="D45" s="74"/>
      <c r="E45" s="74">
        <f>124600+126370</f>
        <v>250970</v>
      </c>
      <c r="F45" s="74"/>
      <c r="G45" s="89">
        <f>'4.pielikums'!B387</f>
        <v>250970</v>
      </c>
    </row>
    <row r="46" spans="1:7" ht="31.5">
      <c r="A46" s="76"/>
      <c r="B46" s="94" t="s">
        <v>302</v>
      </c>
      <c r="C46" s="93">
        <f t="shared" si="0"/>
        <v>91688</v>
      </c>
      <c r="D46" s="74"/>
      <c r="E46" s="74"/>
      <c r="F46" s="74"/>
      <c r="G46" s="89">
        <f>'4.pielikums'!B53</f>
        <v>91688</v>
      </c>
    </row>
    <row r="47" spans="1:7" ht="15.75">
      <c r="A47" s="76"/>
      <c r="B47" s="94" t="s">
        <v>13</v>
      </c>
      <c r="C47" s="93">
        <f t="shared" si="0"/>
        <v>0</v>
      </c>
      <c r="D47" s="74"/>
      <c r="E47" s="74"/>
      <c r="F47" s="74"/>
      <c r="G47" s="89">
        <f>'4.pielikums'!B50</f>
        <v>0</v>
      </c>
    </row>
    <row r="48" spans="1:7" ht="15.75">
      <c r="A48" s="76"/>
      <c r="B48" s="92" t="s">
        <v>14</v>
      </c>
      <c r="C48" s="93">
        <f t="shared" si="0"/>
        <v>44661</v>
      </c>
      <c r="D48" s="74"/>
      <c r="E48" s="74"/>
      <c r="F48" s="74"/>
      <c r="G48" s="89">
        <f>'4.pielikums'!B52</f>
        <v>44661</v>
      </c>
    </row>
    <row r="49" spans="1:7" ht="15.75">
      <c r="A49" s="76"/>
      <c r="B49" s="92" t="s">
        <v>392</v>
      </c>
      <c r="C49" s="93">
        <f t="shared" si="0"/>
        <v>0</v>
      </c>
      <c r="D49" s="74"/>
      <c r="E49" s="74">
        <f>4115+88391</f>
        <v>92506</v>
      </c>
      <c r="F49" s="74"/>
      <c r="G49" s="89">
        <f>'4.pielikums'!B56</f>
        <v>92506</v>
      </c>
    </row>
    <row r="50" spans="1:7" ht="15.75">
      <c r="A50" s="90" t="s">
        <v>65</v>
      </c>
      <c r="B50" s="95" t="s">
        <v>66</v>
      </c>
      <c r="C50" s="75">
        <f>SUM(C51:C53)</f>
        <v>304264</v>
      </c>
      <c r="D50" s="75">
        <f>SUM(D51:D53)</f>
        <v>12200</v>
      </c>
      <c r="E50" s="75">
        <f>SUM(E51:E53)</f>
        <v>3000</v>
      </c>
      <c r="F50" s="75">
        <f>SUM(F51:F53)</f>
        <v>0</v>
      </c>
      <c r="G50" s="89">
        <f>SUM(G51:G53)</f>
        <v>319464</v>
      </c>
    </row>
    <row r="51" spans="1:7" ht="15.75">
      <c r="A51" s="76"/>
      <c r="B51" s="92" t="s">
        <v>16</v>
      </c>
      <c r="C51" s="93">
        <f>G51-D51-E51</f>
        <v>172697</v>
      </c>
      <c r="D51" s="74">
        <f>1500+500+100</f>
        <v>2100</v>
      </c>
      <c r="E51" s="74"/>
      <c r="F51" s="74"/>
      <c r="G51" s="89">
        <f>'4.pielikums'!B59</f>
        <v>174797</v>
      </c>
    </row>
    <row r="52" spans="1:7" ht="15.75">
      <c r="A52" s="96"/>
      <c r="B52" s="92" t="s">
        <v>15</v>
      </c>
      <c r="C52" s="74">
        <f>G52-D52</f>
        <v>90330</v>
      </c>
      <c r="D52" s="74">
        <v>3100</v>
      </c>
      <c r="E52" s="74"/>
      <c r="F52" s="74"/>
      <c r="G52" s="89">
        <f>'4.pielikums'!B58</f>
        <v>93430</v>
      </c>
    </row>
    <row r="53" spans="1:7" ht="15.75">
      <c r="A53" s="76"/>
      <c r="B53" s="92" t="s">
        <v>113</v>
      </c>
      <c r="C53" s="93">
        <f>G53-D53-E53</f>
        <v>41237</v>
      </c>
      <c r="D53" s="74">
        <v>7000</v>
      </c>
      <c r="E53" s="74">
        <v>3000</v>
      </c>
      <c r="F53" s="74"/>
      <c r="G53" s="89">
        <f>'4.pielikums'!B60</f>
        <v>51237</v>
      </c>
    </row>
    <row r="54" spans="1:7" ht="15.75">
      <c r="A54" s="90" t="s">
        <v>67</v>
      </c>
      <c r="B54" s="91" t="s">
        <v>108</v>
      </c>
      <c r="C54" s="75">
        <f>SUM(C55:C94)</f>
        <v>1324253</v>
      </c>
      <c r="D54" s="75">
        <f>SUM(D55:D94)</f>
        <v>22974</v>
      </c>
      <c r="E54" s="75">
        <f>SUM(E55:E94)</f>
        <v>1064010</v>
      </c>
      <c r="F54" s="75">
        <f>SUM(F55:F94)</f>
        <v>1271726</v>
      </c>
      <c r="G54" s="89">
        <f>SUM(G55:G94)</f>
        <v>3682963</v>
      </c>
    </row>
    <row r="55" spans="1:7" ht="15.75">
      <c r="A55" s="76"/>
      <c r="B55" s="94" t="s">
        <v>116</v>
      </c>
      <c r="C55" s="93">
        <v>4197</v>
      </c>
      <c r="D55" s="75"/>
      <c r="E55" s="93">
        <f>154800+50000</f>
        <v>204800</v>
      </c>
      <c r="F55" s="75"/>
      <c r="G55" s="89">
        <f>'4.pielikums'!B91</f>
        <v>208997</v>
      </c>
    </row>
    <row r="56" spans="1:7" ht="15.75">
      <c r="A56" s="96"/>
      <c r="B56" s="92" t="s">
        <v>68</v>
      </c>
      <c r="C56" s="93">
        <f>G56-D56-E56-F56</f>
        <v>71918</v>
      </c>
      <c r="D56" s="74">
        <v>10000</v>
      </c>
      <c r="E56" s="74"/>
      <c r="F56" s="74"/>
      <c r="G56" s="89">
        <f>'4.pielikums'!B61</f>
        <v>81918</v>
      </c>
    </row>
    <row r="57" spans="1:7" ht="31.5">
      <c r="A57" s="76"/>
      <c r="B57" s="94" t="s">
        <v>126</v>
      </c>
      <c r="C57" s="93">
        <f>G57-D57-E57-F57</f>
        <v>135451</v>
      </c>
      <c r="D57" s="74">
        <v>6474</v>
      </c>
      <c r="E57" s="74"/>
      <c r="F57" s="74"/>
      <c r="G57" s="89">
        <f>'4.pielikums'!B65</f>
        <v>141925</v>
      </c>
    </row>
    <row r="58" spans="1:7" ht="31.5">
      <c r="A58" s="97"/>
      <c r="B58" s="98" t="s">
        <v>294</v>
      </c>
      <c r="C58" s="93">
        <f>G58-D58-E58-F58</f>
        <v>26706</v>
      </c>
      <c r="D58" s="74"/>
      <c r="E58" s="74"/>
      <c r="F58" s="74">
        <v>128157</v>
      </c>
      <c r="G58" s="89">
        <f>'4.pielikums'!B69</f>
        <v>154863</v>
      </c>
    </row>
    <row r="59" spans="1:7" ht="31.5">
      <c r="A59" s="97"/>
      <c r="B59" s="99" t="s">
        <v>132</v>
      </c>
      <c r="C59" s="74"/>
      <c r="D59" s="74"/>
      <c r="E59" s="74">
        <v>83456</v>
      </c>
      <c r="F59" s="74"/>
      <c r="G59" s="89">
        <f>'4.pielikums'!B70</f>
        <v>83456</v>
      </c>
    </row>
    <row r="60" spans="1:7" ht="31.5">
      <c r="A60" s="97"/>
      <c r="B60" s="99" t="s">
        <v>361</v>
      </c>
      <c r="C60" s="74">
        <v>37020</v>
      </c>
      <c r="D60" s="74"/>
      <c r="E60" s="74">
        <v>50658</v>
      </c>
      <c r="F60" s="74"/>
      <c r="G60" s="89">
        <f>'4.pielikums'!B71</f>
        <v>87678</v>
      </c>
    </row>
    <row r="61" spans="1:7" ht="31.5">
      <c r="A61" s="97"/>
      <c r="B61" s="99" t="s">
        <v>133</v>
      </c>
      <c r="C61" s="74">
        <v>15898</v>
      </c>
      <c r="D61" s="74"/>
      <c r="E61" s="74">
        <v>25306</v>
      </c>
      <c r="F61" s="74"/>
      <c r="G61" s="89">
        <f>'4.pielikums'!B72</f>
        <v>41204</v>
      </c>
    </row>
    <row r="62" spans="1:7" ht="31.5">
      <c r="A62" s="97"/>
      <c r="B62" s="99" t="s">
        <v>134</v>
      </c>
      <c r="C62" s="74">
        <v>708</v>
      </c>
      <c r="D62" s="74"/>
      <c r="E62" s="74">
        <v>23218</v>
      </c>
      <c r="F62" s="74"/>
      <c r="G62" s="89">
        <f>'4.pielikums'!B73</f>
        <v>23926</v>
      </c>
    </row>
    <row r="63" spans="1:7" ht="31.5">
      <c r="A63" s="97"/>
      <c r="B63" s="99" t="s">
        <v>135</v>
      </c>
      <c r="C63" s="74">
        <v>16275</v>
      </c>
      <c r="D63" s="74"/>
      <c r="E63" s="74">
        <v>46144</v>
      </c>
      <c r="F63" s="74"/>
      <c r="G63" s="89">
        <f>'4.pielikums'!B74</f>
        <v>62419</v>
      </c>
    </row>
    <row r="64" spans="1:7" ht="31.5">
      <c r="A64" s="97"/>
      <c r="B64" s="99" t="s">
        <v>136</v>
      </c>
      <c r="C64" s="74">
        <v>33666</v>
      </c>
      <c r="D64" s="74"/>
      <c r="E64" s="74">
        <v>29065</v>
      </c>
      <c r="F64" s="74"/>
      <c r="G64" s="89">
        <f>'4.pielikums'!B75</f>
        <v>62731</v>
      </c>
    </row>
    <row r="65" spans="1:7" ht="31.5">
      <c r="A65" s="97"/>
      <c r="B65" s="99" t="s">
        <v>137</v>
      </c>
      <c r="C65" s="74">
        <v>9333</v>
      </c>
      <c r="D65" s="74"/>
      <c r="E65" s="74">
        <v>18040</v>
      </c>
      <c r="F65" s="74"/>
      <c r="G65" s="89">
        <f>'4.pielikums'!B76</f>
        <v>27373</v>
      </c>
    </row>
    <row r="66" spans="1:7" ht="31.5">
      <c r="A66" s="97"/>
      <c r="B66" s="99" t="s">
        <v>138</v>
      </c>
      <c r="C66" s="74"/>
      <c r="D66" s="74"/>
      <c r="E66" s="74">
        <f>45601-4431</f>
        <v>41170</v>
      </c>
      <c r="F66" s="74"/>
      <c r="G66" s="89">
        <f>'4.pielikums'!B77</f>
        <v>41170</v>
      </c>
    </row>
    <row r="67" spans="1:7" ht="31.5">
      <c r="A67" s="97"/>
      <c r="B67" s="99" t="s">
        <v>359</v>
      </c>
      <c r="C67" s="74">
        <v>3410</v>
      </c>
      <c r="D67" s="74"/>
      <c r="E67" s="74">
        <v>18505</v>
      </c>
      <c r="F67" s="74"/>
      <c r="G67" s="89">
        <f>'4.pielikums'!B78</f>
        <v>21915</v>
      </c>
    </row>
    <row r="68" spans="1:7" ht="31.5">
      <c r="A68" s="97"/>
      <c r="B68" s="99" t="s">
        <v>139</v>
      </c>
      <c r="C68" s="74">
        <v>0</v>
      </c>
      <c r="D68" s="74"/>
      <c r="E68" s="74">
        <v>13655</v>
      </c>
      <c r="F68" s="74"/>
      <c r="G68" s="89">
        <f>'4.pielikums'!B79</f>
        <v>13655</v>
      </c>
    </row>
    <row r="69" spans="1:7" ht="31.5">
      <c r="A69" s="97"/>
      <c r="B69" s="99" t="s">
        <v>357</v>
      </c>
      <c r="C69" s="74">
        <v>0</v>
      </c>
      <c r="D69" s="74"/>
      <c r="E69" s="74">
        <v>61177</v>
      </c>
      <c r="F69" s="74"/>
      <c r="G69" s="89">
        <f>'4.pielikums'!B80</f>
        <v>61177</v>
      </c>
    </row>
    <row r="70" spans="1:7" ht="31.5">
      <c r="A70" s="97"/>
      <c r="B70" s="99" t="s">
        <v>358</v>
      </c>
      <c r="C70" s="74">
        <v>6534</v>
      </c>
      <c r="D70" s="74"/>
      <c r="E70" s="74">
        <v>25516</v>
      </c>
      <c r="F70" s="74"/>
      <c r="G70" s="89">
        <f>'4.pielikums'!B81</f>
        <v>32050</v>
      </c>
    </row>
    <row r="71" spans="1:7" ht="31.5">
      <c r="A71" s="97"/>
      <c r="B71" s="99" t="s">
        <v>360</v>
      </c>
      <c r="C71" s="74">
        <v>109095</v>
      </c>
      <c r="D71" s="74"/>
      <c r="E71" s="74">
        <v>86487</v>
      </c>
      <c r="F71" s="74"/>
      <c r="G71" s="89">
        <f>'4.pielikums'!B82</f>
        <v>195582</v>
      </c>
    </row>
    <row r="72" spans="1:7" ht="31.5">
      <c r="A72" s="97"/>
      <c r="B72" s="99" t="s">
        <v>140</v>
      </c>
      <c r="C72" s="74">
        <v>8043</v>
      </c>
      <c r="D72" s="74"/>
      <c r="E72" s="74">
        <v>41049</v>
      </c>
      <c r="F72" s="74"/>
      <c r="G72" s="89">
        <f>'4.pielikums'!B83</f>
        <v>49092</v>
      </c>
    </row>
    <row r="73" spans="1:7" ht="31.5">
      <c r="A73" s="97"/>
      <c r="B73" s="99" t="s">
        <v>362</v>
      </c>
      <c r="C73" s="74">
        <v>9966</v>
      </c>
      <c r="D73" s="74"/>
      <c r="E73" s="74">
        <v>21081</v>
      </c>
      <c r="F73" s="74"/>
      <c r="G73" s="89">
        <f>'4.pielikums'!B84</f>
        <v>31047</v>
      </c>
    </row>
    <row r="74" spans="1:7" ht="31.5">
      <c r="A74" s="97"/>
      <c r="B74" s="99" t="s">
        <v>363</v>
      </c>
      <c r="C74" s="74">
        <v>7693</v>
      </c>
      <c r="D74" s="74"/>
      <c r="E74" s="74">
        <v>37977</v>
      </c>
      <c r="F74" s="74"/>
      <c r="G74" s="89">
        <f>'4.pielikums'!B85</f>
        <v>45670</v>
      </c>
    </row>
    <row r="75" spans="1:7" ht="31.5">
      <c r="A75" s="97"/>
      <c r="B75" s="99" t="s">
        <v>141</v>
      </c>
      <c r="C75" s="74">
        <v>7791</v>
      </c>
      <c r="D75" s="74"/>
      <c r="E75" s="74">
        <v>12402</v>
      </c>
      <c r="F75" s="74"/>
      <c r="G75" s="89">
        <f>'4.pielikums'!B86</f>
        <v>20193</v>
      </c>
    </row>
    <row r="76" spans="1:7" ht="31.5">
      <c r="A76" s="97"/>
      <c r="B76" s="99" t="s">
        <v>366</v>
      </c>
      <c r="C76" s="74">
        <v>5114</v>
      </c>
      <c r="D76" s="74"/>
      <c r="E76" s="74">
        <v>15483</v>
      </c>
      <c r="F76" s="74"/>
      <c r="G76" s="89">
        <f>'4.pielikums'!B87</f>
        <v>20597</v>
      </c>
    </row>
    <row r="77" spans="1:7" ht="31.5">
      <c r="A77" s="97"/>
      <c r="B77" s="99" t="s">
        <v>142</v>
      </c>
      <c r="C77" s="74">
        <v>4693</v>
      </c>
      <c r="D77" s="74"/>
      <c r="E77" s="74">
        <v>25724</v>
      </c>
      <c r="F77" s="74"/>
      <c r="G77" s="89">
        <f>'4.pielikums'!B88</f>
        <v>30417</v>
      </c>
    </row>
    <row r="78" spans="1:7" ht="31.5">
      <c r="A78" s="97"/>
      <c r="B78" s="99" t="s">
        <v>364</v>
      </c>
      <c r="C78" s="74">
        <v>1496</v>
      </c>
      <c r="D78" s="74"/>
      <c r="E78" s="74">
        <v>15904</v>
      </c>
      <c r="F78" s="74"/>
      <c r="G78" s="89">
        <f>'4.pielikums'!B89</f>
        <v>17400</v>
      </c>
    </row>
    <row r="79" spans="1:7" ht="31.5">
      <c r="A79" s="97"/>
      <c r="B79" s="99" t="s">
        <v>365</v>
      </c>
      <c r="C79" s="74">
        <v>19599</v>
      </c>
      <c r="D79" s="74"/>
      <c r="E79" s="74">
        <v>113261</v>
      </c>
      <c r="F79" s="74"/>
      <c r="G79" s="89">
        <f>'4.pielikums'!B90</f>
        <v>132860</v>
      </c>
    </row>
    <row r="80" spans="1:7" ht="47.25">
      <c r="A80" s="97"/>
      <c r="B80" s="99" t="s">
        <v>285</v>
      </c>
      <c r="C80" s="93">
        <f>G80-E80-F80</f>
        <v>0</v>
      </c>
      <c r="D80" s="74"/>
      <c r="E80" s="74">
        <v>53932</v>
      </c>
      <c r="F80" s="74">
        <f>305610+70679</f>
        <v>376289</v>
      </c>
      <c r="G80" s="89">
        <f>'4.pielikums'!B374</f>
        <v>430221</v>
      </c>
    </row>
    <row r="81" spans="1:7" ht="31.5">
      <c r="A81" s="97"/>
      <c r="B81" s="99" t="s">
        <v>353</v>
      </c>
      <c r="C81" s="93">
        <f>G81</f>
        <v>389963</v>
      </c>
      <c r="D81" s="74"/>
      <c r="E81" s="74"/>
      <c r="F81" s="74"/>
      <c r="G81" s="89">
        <f>'4.pielikums'!B368</f>
        <v>389963</v>
      </c>
    </row>
    <row r="82" spans="1:7" ht="31.5">
      <c r="A82" s="97"/>
      <c r="B82" s="100" t="s">
        <v>371</v>
      </c>
      <c r="C82" s="93">
        <f t="shared" si="1" ref="C82:C94">=G82-D82-E82-F82</f>
        <v>19646</v>
      </c>
      <c r="D82" s="74"/>
      <c r="E82" s="74">
        <v>0</v>
      </c>
      <c r="F82" s="74"/>
      <c r="G82" s="89">
        <f>'4.pielikums'!B92</f>
        <v>19646</v>
      </c>
    </row>
    <row r="83" spans="1:7" ht="31.5">
      <c r="A83" s="97"/>
      <c r="B83" s="100" t="s">
        <v>372</v>
      </c>
      <c r="C83" s="93">
        <f t="shared" si="1"/>
        <v>13168</v>
      </c>
      <c r="D83" s="74"/>
      <c r="E83" s="74"/>
      <c r="F83" s="74"/>
      <c r="G83" s="89">
        <f>'4.pielikums'!B93</f>
        <v>13168</v>
      </c>
    </row>
    <row r="84" spans="1:7" ht="15.75">
      <c r="A84" s="97"/>
      <c r="B84" s="100" t="s">
        <v>220</v>
      </c>
      <c r="C84" s="93">
        <f t="shared" si="1"/>
        <v>15560</v>
      </c>
      <c r="D84" s="74">
        <v>6500</v>
      </c>
      <c r="E84" s="74"/>
      <c r="F84" s="74"/>
      <c r="G84" s="89">
        <f>'4.pielikums'!B94</f>
        <v>22060</v>
      </c>
    </row>
    <row r="85" spans="1:7" ht="31.5">
      <c r="A85" s="97"/>
      <c r="B85" s="100" t="s">
        <v>219</v>
      </c>
      <c r="C85" s="93">
        <f t="shared" si="1"/>
        <v>31011</v>
      </c>
      <c r="D85" s="74"/>
      <c r="E85" s="74"/>
      <c r="F85" s="74"/>
      <c r="G85" s="89">
        <f>'4.pielikums'!B95</f>
        <v>31011</v>
      </c>
    </row>
    <row r="86" spans="1:7" ht="31.5">
      <c r="A86" s="97"/>
      <c r="B86" s="100" t="s">
        <v>374</v>
      </c>
      <c r="C86" s="93">
        <f t="shared" si="1"/>
        <v>6972</v>
      </c>
      <c r="D86" s="74"/>
      <c r="E86" s="74"/>
      <c r="F86" s="74"/>
      <c r="G86" s="89">
        <f>'4.pielikums'!B98</f>
        <v>6972</v>
      </c>
    </row>
    <row r="87" spans="1:7" ht="46.9" customHeight="1">
      <c r="A87" s="97"/>
      <c r="B87" s="94" t="s">
        <v>291</v>
      </c>
      <c r="C87" s="93">
        <f t="shared" si="1"/>
        <v>0</v>
      </c>
      <c r="D87" s="74"/>
      <c r="E87" s="74"/>
      <c r="F87" s="93">
        <f>G87-E87</f>
        <v>120377</v>
      </c>
      <c r="G87" s="89">
        <f>'4.pielikums'!B96</f>
        <v>120377</v>
      </c>
    </row>
    <row r="88" spans="1:7" ht="31.5">
      <c r="A88" s="76"/>
      <c r="B88" s="94" t="s">
        <v>124</v>
      </c>
      <c r="C88" s="93">
        <f t="shared" si="1"/>
        <v>3176</v>
      </c>
      <c r="D88" s="74"/>
      <c r="E88" s="74"/>
      <c r="F88" s="74"/>
      <c r="G88" s="89">
        <f>'4.pielikums'!B64</f>
        <v>3176</v>
      </c>
    </row>
    <row r="89" spans="1:7" ht="26.25" customHeight="1">
      <c r="A89" s="76"/>
      <c r="B89" s="94" t="s">
        <v>18</v>
      </c>
      <c r="C89" s="93">
        <f t="shared" si="1"/>
        <v>111852</v>
      </c>
      <c r="D89" s="74"/>
      <c r="E89" s="74"/>
      <c r="F89" s="74"/>
      <c r="G89" s="89">
        <f>'4.pielikums'!B62</f>
        <v>111852</v>
      </c>
    </row>
    <row r="90" spans="1:7" ht="15.75">
      <c r="A90" s="76"/>
      <c r="B90" s="94" t="s">
        <v>313</v>
      </c>
      <c r="C90" s="93">
        <f t="shared" si="1"/>
        <v>50000</v>
      </c>
      <c r="D90" s="74"/>
      <c r="E90" s="74"/>
      <c r="F90" s="74"/>
      <c r="G90" s="89">
        <f>'4.pielikums'!B68</f>
        <v>50000</v>
      </c>
    </row>
    <row r="91" spans="1:7" ht="18.75" customHeight="1">
      <c r="A91" s="76"/>
      <c r="B91" s="100" t="s">
        <v>175</v>
      </c>
      <c r="C91" s="93">
        <f t="shared" si="1"/>
        <v>3525</v>
      </c>
      <c r="D91" s="74"/>
      <c r="E91" s="74"/>
      <c r="F91" s="74"/>
      <c r="G91" s="89">
        <f>'4.pielikums'!B67</f>
        <v>3525</v>
      </c>
    </row>
    <row r="92" spans="1:7" ht="34.15" customHeight="1">
      <c r="A92" s="76"/>
      <c r="B92" s="94" t="s">
        <v>292</v>
      </c>
      <c r="C92" s="93">
        <f t="shared" si="1"/>
        <v>0</v>
      </c>
      <c r="D92" s="74"/>
      <c r="E92" s="74"/>
      <c r="F92" s="74">
        <f>163397+96313</f>
        <v>259710</v>
      </c>
      <c r="G92" s="89">
        <f>'4.pielikums'!B97</f>
        <v>259710</v>
      </c>
    </row>
    <row r="93" spans="1:7" ht="38.45" customHeight="1">
      <c r="A93" s="76"/>
      <c r="B93" s="94" t="s">
        <v>286</v>
      </c>
      <c r="C93" s="93">
        <f t="shared" si="1"/>
        <v>25687</v>
      </c>
      <c r="D93" s="74"/>
      <c r="E93" s="74"/>
      <c r="F93" s="74">
        <v>277977</v>
      </c>
      <c r="G93" s="89">
        <f>'4.pielikums'!B379</f>
        <v>303664</v>
      </c>
    </row>
    <row r="94" spans="1:7" ht="47.25" customHeight="1">
      <c r="A94" s="76"/>
      <c r="B94" s="94" t="s">
        <v>155</v>
      </c>
      <c r="C94" s="93">
        <f t="shared" si="1"/>
        <v>119087</v>
      </c>
      <c r="D94" s="74"/>
      <c r="E94" s="74"/>
      <c r="F94" s="74">
        <v>109216</v>
      </c>
      <c r="G94" s="89">
        <f>'4.pielikums'!B99</f>
        <v>228303</v>
      </c>
    </row>
    <row r="95" spans="1:7" ht="31.5" customHeight="1">
      <c r="A95" s="90" t="s">
        <v>143</v>
      </c>
      <c r="B95" s="95" t="s">
        <v>144</v>
      </c>
      <c r="C95" s="75">
        <f>SUM(C96:C109)</f>
        <v>116882</v>
      </c>
      <c r="D95" s="75">
        <f>SUM(D96:D109)</f>
        <v>50442</v>
      </c>
      <c r="E95" s="75">
        <f>SUM(E96:E109)</f>
        <v>0</v>
      </c>
      <c r="F95" s="75">
        <f>SUM(F96:F109)</f>
        <v>0</v>
      </c>
      <c r="G95" s="89">
        <f>SUM(G96:G109)</f>
        <v>167324</v>
      </c>
    </row>
    <row r="96" spans="1:7" ht="54" customHeight="1">
      <c r="A96" s="76"/>
      <c r="B96" s="101" t="s">
        <v>145</v>
      </c>
      <c r="C96" s="93">
        <f t="shared" si="2" ref="C96:C109">=G96-D96-E96-F96</f>
        <v>70917</v>
      </c>
      <c r="D96" s="74"/>
      <c r="E96" s="74"/>
      <c r="F96" s="74"/>
      <c r="G96" s="89">
        <f>'4.pielikums'!B100</f>
        <v>70917</v>
      </c>
    </row>
    <row r="97" spans="1:7" ht="41.25" customHeight="1">
      <c r="A97" s="76"/>
      <c r="B97" s="99" t="s">
        <v>305</v>
      </c>
      <c r="C97" s="93">
        <f t="shared" si="2"/>
        <v>713</v>
      </c>
      <c r="D97" s="74"/>
      <c r="E97" s="74"/>
      <c r="F97" s="74"/>
      <c r="G97" s="89">
        <f>'4.pielikums'!B101</f>
        <v>713</v>
      </c>
    </row>
    <row r="98" spans="1:7" ht="38.25" customHeight="1">
      <c r="A98" s="76"/>
      <c r="B98" s="102" t="s">
        <v>221</v>
      </c>
      <c r="C98" s="93">
        <f t="shared" si="2"/>
        <v>9222</v>
      </c>
      <c r="D98" s="74"/>
      <c r="E98" s="74"/>
      <c r="F98" s="74"/>
      <c r="G98" s="89">
        <f>'4.pielikums'!B102</f>
        <v>9222</v>
      </c>
    </row>
    <row r="99" spans="1:7" ht="29.25" customHeight="1">
      <c r="A99" s="76"/>
      <c r="B99" s="99" t="s">
        <v>222</v>
      </c>
      <c r="C99" s="93">
        <f t="shared" si="2"/>
        <v>20479</v>
      </c>
      <c r="D99" s="74"/>
      <c r="E99" s="74"/>
      <c r="F99" s="74"/>
      <c r="G99" s="89">
        <f>'4.pielikums'!B103</f>
        <v>20479</v>
      </c>
    </row>
    <row r="100" spans="1:7" ht="36.75" customHeight="1">
      <c r="A100" s="76"/>
      <c r="B100" s="99" t="s">
        <v>223</v>
      </c>
      <c r="C100" s="93">
        <f t="shared" si="2"/>
        <v>3696</v>
      </c>
      <c r="D100" s="74">
        <v>3306</v>
      </c>
      <c r="E100" s="74"/>
      <c r="F100" s="74"/>
      <c r="G100" s="89">
        <f>'4.pielikums'!D104</f>
        <v>7002</v>
      </c>
    </row>
    <row r="101" spans="1:7" ht="35.25" customHeight="1">
      <c r="A101" s="76"/>
      <c r="B101" s="99" t="s">
        <v>224</v>
      </c>
      <c r="C101" s="93">
        <f t="shared" si="2"/>
        <v>5658</v>
      </c>
      <c r="D101" s="74">
        <v>6498</v>
      </c>
      <c r="E101" s="74"/>
      <c r="F101" s="74"/>
      <c r="G101" s="89">
        <f>'4.pielikums'!D105</f>
        <v>12156</v>
      </c>
    </row>
    <row r="102" spans="1:7" ht="29.25" customHeight="1">
      <c r="A102" s="76"/>
      <c r="B102" s="100" t="s">
        <v>231</v>
      </c>
      <c r="C102" s="93">
        <f t="shared" si="2"/>
        <v>1281</v>
      </c>
      <c r="D102" s="74">
        <v>6985</v>
      </c>
      <c r="E102" s="74"/>
      <c r="F102" s="74"/>
      <c r="G102" s="89">
        <f>'4.pielikums'!B107</f>
        <v>8266</v>
      </c>
    </row>
    <row r="103" spans="1:7" ht="29.25" customHeight="1">
      <c r="A103" s="76"/>
      <c r="B103" s="100" t="s">
        <v>230</v>
      </c>
      <c r="C103" s="93">
        <f t="shared" si="2"/>
        <v>2234</v>
      </c>
      <c r="D103" s="74">
        <v>1800</v>
      </c>
      <c r="E103" s="74"/>
      <c r="F103" s="74"/>
      <c r="G103" s="89">
        <f>'4.pielikums'!B108</f>
        <v>4034</v>
      </c>
    </row>
    <row r="104" spans="1:7" ht="29.25" customHeight="1">
      <c r="A104" s="76"/>
      <c r="B104" s="100" t="s">
        <v>229</v>
      </c>
      <c r="C104" s="93">
        <f t="shared" si="2"/>
        <v>0</v>
      </c>
      <c r="D104" s="74">
        <v>3385</v>
      </c>
      <c r="E104" s="74"/>
      <c r="F104" s="74"/>
      <c r="G104" s="89">
        <f>'4.pielikums'!B109</f>
        <v>3385</v>
      </c>
    </row>
    <row r="105" spans="1:7" ht="29.25" customHeight="1">
      <c r="A105" s="76"/>
      <c r="B105" s="100" t="s">
        <v>228</v>
      </c>
      <c r="C105" s="93">
        <f t="shared" si="2"/>
        <v>0</v>
      </c>
      <c r="D105" s="74">
        <v>1740</v>
      </c>
      <c r="E105" s="74"/>
      <c r="F105" s="74"/>
      <c r="G105" s="89">
        <f>'4.pielikums'!B110</f>
        <v>1740</v>
      </c>
    </row>
    <row r="106" spans="1:7" ht="29.25" customHeight="1">
      <c r="A106" s="76"/>
      <c r="B106" s="100" t="s">
        <v>227</v>
      </c>
      <c r="C106" s="93">
        <f t="shared" si="2"/>
        <v>381</v>
      </c>
      <c r="D106" s="74">
        <v>309</v>
      </c>
      <c r="E106" s="74"/>
      <c r="F106" s="74"/>
      <c r="G106" s="89">
        <f>'4.pielikums'!B111</f>
        <v>690</v>
      </c>
    </row>
    <row r="107" spans="1:7" ht="29.25" customHeight="1">
      <c r="A107" s="76"/>
      <c r="B107" s="100" t="s">
        <v>226</v>
      </c>
      <c r="C107" s="93">
        <f t="shared" si="2"/>
        <v>1793</v>
      </c>
      <c r="D107" s="74">
        <v>4993</v>
      </c>
      <c r="E107" s="74"/>
      <c r="F107" s="74"/>
      <c r="G107" s="89">
        <f>'4.pielikums'!B112</f>
        <v>6786</v>
      </c>
    </row>
    <row r="108" spans="1:7" ht="46.9" customHeight="1">
      <c r="A108" s="76"/>
      <c r="B108" s="100" t="s">
        <v>350</v>
      </c>
      <c r="C108" s="93">
        <f t="shared" si="2"/>
        <v>508</v>
      </c>
      <c r="D108" s="74">
        <f>1500+16416</f>
        <v>17916</v>
      </c>
      <c r="E108" s="74"/>
      <c r="F108" s="74"/>
      <c r="G108" s="89">
        <f>'4.pielikums'!B113</f>
        <v>18424</v>
      </c>
    </row>
    <row r="109" spans="1:7" ht="44.25" customHeight="1">
      <c r="A109" s="76"/>
      <c r="B109" s="100" t="s">
        <v>225</v>
      </c>
      <c r="C109" s="93">
        <f t="shared" si="2"/>
        <v>0</v>
      </c>
      <c r="D109" s="74">
        <v>3510</v>
      </c>
      <c r="E109" s="74"/>
      <c r="F109" s="74"/>
      <c r="G109" s="89">
        <f>'4.pielikums'!B114</f>
        <v>3510</v>
      </c>
    </row>
    <row r="110" spans="1:7" ht="51.75" customHeight="1">
      <c r="A110" s="103" t="s">
        <v>69</v>
      </c>
      <c r="B110" s="95" t="s">
        <v>70</v>
      </c>
      <c r="C110" s="75">
        <f>C111+C115</f>
        <v>2793627</v>
      </c>
      <c r="D110" s="75">
        <f>D111+D115</f>
        <v>1681880</v>
      </c>
      <c r="E110" s="75">
        <f>E111+E115</f>
        <v>264365</v>
      </c>
      <c r="F110" s="75">
        <f>F111+F115</f>
        <v>0</v>
      </c>
      <c r="G110" s="89">
        <f>G111+G115</f>
        <v>4739872</v>
      </c>
    </row>
    <row r="111" spans="1:7" ht="15.75">
      <c r="A111" s="96"/>
      <c r="B111" s="91" t="s">
        <v>71</v>
      </c>
      <c r="C111" s="75">
        <f>SUM(C112:C114)</f>
        <v>167549</v>
      </c>
      <c r="D111" s="75">
        <f t="shared" si="3" ref="D111:G111">=SUM(D112:D114)</f>
        <v>0</v>
      </c>
      <c r="E111" s="75">
        <f t="shared" si="3"/>
        <v>0</v>
      </c>
      <c r="F111" s="75">
        <f t="shared" si="3"/>
        <v>0</v>
      </c>
      <c r="G111" s="89">
        <f t="shared" si="3"/>
        <v>167549</v>
      </c>
    </row>
    <row r="112" spans="1:7" ht="15.75">
      <c r="A112" s="90"/>
      <c r="B112" s="92" t="s">
        <v>19</v>
      </c>
      <c r="C112" s="93">
        <f>G112-D112-E112-F112</f>
        <v>158563</v>
      </c>
      <c r="D112" s="74"/>
      <c r="E112" s="74"/>
      <c r="F112" s="74"/>
      <c r="G112" s="89">
        <f>'4.pielikums'!B115</f>
        <v>158563</v>
      </c>
    </row>
    <row r="113" spans="1:7" ht="31.5">
      <c r="A113" s="76"/>
      <c r="B113" s="104" t="s">
        <v>304</v>
      </c>
      <c r="C113" s="93">
        <f>G113-D113-E113-F113</f>
        <v>5312</v>
      </c>
      <c r="D113" s="74"/>
      <c r="E113" s="74"/>
      <c r="F113" s="74"/>
      <c r="G113" s="89">
        <f>'4.pielikums'!B182</f>
        <v>5312</v>
      </c>
    </row>
    <row r="114" spans="1:7" ht="31.5">
      <c r="A114" s="76"/>
      <c r="B114" s="104" t="s">
        <v>303</v>
      </c>
      <c r="C114" s="93">
        <f>G114-D114-E114-F114</f>
        <v>3674</v>
      </c>
      <c r="D114" s="74"/>
      <c r="E114" s="74"/>
      <c r="F114" s="74"/>
      <c r="G114" s="89">
        <f>'4.pielikums'!B183</f>
        <v>3674</v>
      </c>
    </row>
    <row r="115" spans="1:7" ht="47.25">
      <c r="A115" s="76"/>
      <c r="B115" s="95" t="s">
        <v>72</v>
      </c>
      <c r="C115" s="75">
        <f>SUM(C116:C171)</f>
        <v>2626078</v>
      </c>
      <c r="D115" s="75">
        <f>SUM(D116:D171)</f>
        <v>1681880</v>
      </c>
      <c r="E115" s="75">
        <f>SUM(E116:E171)</f>
        <v>264365</v>
      </c>
      <c r="F115" s="75">
        <f>SUM(F116:F171)</f>
        <v>0</v>
      </c>
      <c r="G115" s="89">
        <f>SUM(G116:G171)</f>
        <v>4572323</v>
      </c>
    </row>
    <row r="116" spans="1:7" ht="15.75">
      <c r="A116" s="103"/>
      <c r="B116" s="94" t="s">
        <v>311</v>
      </c>
      <c r="C116" s="93">
        <f t="shared" si="4" ref="C116:C127">=G116-D116-E116-F116</f>
        <v>109280</v>
      </c>
      <c r="D116" s="74"/>
      <c r="E116" s="74"/>
      <c r="F116" s="74"/>
      <c r="G116" s="89">
        <f>'4.pielikums'!B117</f>
        <v>109280</v>
      </c>
    </row>
    <row r="117" spans="1:7" ht="15.75">
      <c r="A117" s="103"/>
      <c r="B117" s="94" t="s">
        <v>319</v>
      </c>
      <c r="C117" s="93">
        <f t="shared" si="4"/>
        <v>299025</v>
      </c>
      <c r="D117" s="74"/>
      <c r="E117" s="74"/>
      <c r="F117" s="74"/>
      <c r="G117" s="89">
        <f>'4.pielikums'!B119</f>
        <v>299025</v>
      </c>
    </row>
    <row r="118" spans="1:7" ht="15.75">
      <c r="A118" s="105"/>
      <c r="B118" s="99" t="s">
        <v>20</v>
      </c>
      <c r="C118" s="93">
        <f t="shared" si="4"/>
        <v>30009</v>
      </c>
      <c r="D118" s="74"/>
      <c r="E118" s="74"/>
      <c r="F118" s="74"/>
      <c r="G118" s="89">
        <f>'4.pielikums'!B121</f>
        <v>30009</v>
      </c>
    </row>
    <row r="119" spans="1:7" ht="38.25" customHeight="1">
      <c r="A119" s="76"/>
      <c r="B119" s="99" t="s">
        <v>73</v>
      </c>
      <c r="C119" s="93">
        <f t="shared" si="4"/>
        <v>68454</v>
      </c>
      <c r="D119" s="74">
        <v>6800</v>
      </c>
      <c r="E119" s="74"/>
      <c r="F119" s="74"/>
      <c r="G119" s="89">
        <f>'4.pielikums'!B122</f>
        <v>75254</v>
      </c>
    </row>
    <row r="120" spans="1:7" ht="31.5">
      <c r="A120" s="76"/>
      <c r="B120" s="99" t="s">
        <v>22</v>
      </c>
      <c r="C120" s="93">
        <f t="shared" si="4"/>
        <v>35871</v>
      </c>
      <c r="D120" s="74">
        <v>10540</v>
      </c>
      <c r="E120" s="74"/>
      <c r="F120" s="74"/>
      <c r="G120" s="89">
        <f>'4.pielikums'!B123</f>
        <v>46411</v>
      </c>
    </row>
    <row r="121" spans="1:7" ht="31.5">
      <c r="A121" s="76"/>
      <c r="B121" s="99" t="s">
        <v>23</v>
      </c>
      <c r="C121" s="93">
        <f t="shared" si="4"/>
        <v>54146</v>
      </c>
      <c r="D121" s="74">
        <v>7500</v>
      </c>
      <c r="E121" s="74"/>
      <c r="F121" s="74"/>
      <c r="G121" s="89">
        <f>'4.pielikums'!B125</f>
        <v>61646</v>
      </c>
    </row>
    <row r="122" spans="1:7" ht="31.5">
      <c r="A122" s="76"/>
      <c r="B122" s="99" t="s">
        <v>24</v>
      </c>
      <c r="C122" s="93">
        <f t="shared" si="4"/>
        <v>90194</v>
      </c>
      <c r="D122" s="131">
        <f>17550+7124</f>
        <v>24674</v>
      </c>
      <c r="E122" s="74"/>
      <c r="F122" s="74"/>
      <c r="G122" s="89">
        <f>'4.pielikums'!B126</f>
        <v>114868</v>
      </c>
    </row>
    <row r="123" spans="1:7" ht="31.5" customHeight="1">
      <c r="A123" s="76"/>
      <c r="B123" s="99" t="s">
        <v>25</v>
      </c>
      <c r="C123" s="93">
        <f>G123-D123-E123-F123</f>
        <v>78671</v>
      </c>
      <c r="D123" s="74">
        <f>11060+1500</f>
        <v>12560</v>
      </c>
      <c r="E123" s="74"/>
      <c r="F123" s="74"/>
      <c r="G123" s="89">
        <f>'4.pielikums'!B128</f>
        <v>91231</v>
      </c>
    </row>
    <row r="124" spans="1:7" ht="35.25" customHeight="1">
      <c r="A124" s="76"/>
      <c r="B124" s="99" t="s">
        <v>26</v>
      </c>
      <c r="C124" s="93">
        <f t="shared" si="4"/>
        <v>51967</v>
      </c>
      <c r="D124" s="74">
        <v>2580</v>
      </c>
      <c r="E124" s="74"/>
      <c r="F124" s="74"/>
      <c r="G124" s="89">
        <f>'4.pielikums'!B130</f>
        <v>54547</v>
      </c>
    </row>
    <row r="125" spans="1:7" ht="15.75">
      <c r="A125" s="76"/>
      <c r="B125" s="99" t="s">
        <v>27</v>
      </c>
      <c r="C125" s="93">
        <f t="shared" si="4"/>
        <v>128252</v>
      </c>
      <c r="D125" s="74">
        <v>22098</v>
      </c>
      <c r="E125" s="74"/>
      <c r="F125" s="74"/>
      <c r="G125" s="89">
        <f>'4.pielikums'!B131</f>
        <v>150350</v>
      </c>
    </row>
    <row r="126" spans="1:7" ht="34.5" customHeight="1">
      <c r="A126" s="76"/>
      <c r="B126" s="99" t="s">
        <v>28</v>
      </c>
      <c r="C126" s="93">
        <f t="shared" si="4"/>
        <v>40771</v>
      </c>
      <c r="D126" s="74">
        <v>1834</v>
      </c>
      <c r="E126" s="74"/>
      <c r="F126" s="74"/>
      <c r="G126" s="89">
        <f>'4.pielikums'!B133</f>
        <v>42605</v>
      </c>
    </row>
    <row r="127" spans="1:7" ht="31.5">
      <c r="A127" s="76"/>
      <c r="B127" s="99" t="s">
        <v>29</v>
      </c>
      <c r="C127" s="93">
        <f t="shared" si="4"/>
        <v>71464</v>
      </c>
      <c r="D127" s="74">
        <v>6576</v>
      </c>
      <c r="E127" s="74"/>
      <c r="F127" s="74"/>
      <c r="G127" s="89">
        <f>'4.pielikums'!B134</f>
        <v>78040</v>
      </c>
    </row>
    <row r="128" spans="1:7" ht="31.5">
      <c r="A128" s="76"/>
      <c r="B128" s="94" t="s">
        <v>348</v>
      </c>
      <c r="C128" s="74">
        <f>G128-D128</f>
        <v>93376</v>
      </c>
      <c r="D128" s="74"/>
      <c r="E128" s="74"/>
      <c r="F128" s="74"/>
      <c r="G128" s="89">
        <f>'4.pielikums'!B136</f>
        <v>93376</v>
      </c>
    </row>
    <row r="129" spans="1:7" ht="15.75">
      <c r="A129" s="76"/>
      <c r="B129" s="92" t="s">
        <v>109</v>
      </c>
      <c r="C129" s="93">
        <f>G129-D129-E129-F129</f>
        <v>414403</v>
      </c>
      <c r="D129" s="74">
        <f>1143841+103411</f>
        <v>1247252</v>
      </c>
      <c r="E129" s="74"/>
      <c r="F129" s="74"/>
      <c r="G129" s="89">
        <f>'4.pielikums'!B137</f>
        <v>1661655</v>
      </c>
    </row>
    <row r="130" spans="1:7" ht="78.75">
      <c r="A130" s="76"/>
      <c r="B130" s="94" t="s">
        <v>131</v>
      </c>
      <c r="C130" s="93">
        <f t="shared" si="5" ref="C130:C170">=G130-D130-E130-F130</f>
        <v>21594</v>
      </c>
      <c r="D130" s="74"/>
      <c r="E130" s="74"/>
      <c r="F130" s="74">
        <v>0</v>
      </c>
      <c r="G130" s="89">
        <f>'4.pielikums'!B140</f>
        <v>21594</v>
      </c>
    </row>
    <row r="131" spans="1:7" ht="47.25">
      <c r="A131" s="76"/>
      <c r="B131" s="94" t="s">
        <v>403</v>
      </c>
      <c r="C131" s="93">
        <f t="shared" si="6" ref="C131">=G131-D131-E131-F131</f>
        <v>0</v>
      </c>
      <c r="D131" s="74"/>
      <c r="E131" s="74">
        <v>7865</v>
      </c>
      <c r="F131" s="74">
        <v>0</v>
      </c>
      <c r="G131" s="89">
        <f>'4.pielikums'!B394</f>
        <v>7865</v>
      </c>
    </row>
    <row r="132" spans="1:7" ht="31.5">
      <c r="A132" s="76"/>
      <c r="B132" s="94" t="s">
        <v>406</v>
      </c>
      <c r="C132" s="93">
        <f t="shared" si="7" ref="C132">=G132-D132-E132-F132</f>
        <v>0</v>
      </c>
      <c r="D132" s="74"/>
      <c r="E132" s="74">
        <v>256500</v>
      </c>
      <c r="F132" s="74">
        <v>0</v>
      </c>
      <c r="G132" s="89">
        <f>'4.pielikums'!B398</f>
        <v>256500</v>
      </c>
    </row>
    <row r="133" spans="1:7" ht="15.75">
      <c r="A133" s="76"/>
      <c r="B133" s="102" t="s">
        <v>329</v>
      </c>
      <c r="C133" s="93">
        <f t="shared" si="5"/>
        <v>4590</v>
      </c>
      <c r="D133" s="74">
        <v>8803</v>
      </c>
      <c r="E133" s="74"/>
      <c r="F133" s="74"/>
      <c r="G133" s="89">
        <f>'4.pielikums'!B141</f>
        <v>13393</v>
      </c>
    </row>
    <row r="134" spans="1:7" ht="15.75">
      <c r="A134" s="76"/>
      <c r="B134" s="102" t="s">
        <v>330</v>
      </c>
      <c r="C134" s="93">
        <f t="shared" si="5"/>
        <v>530</v>
      </c>
      <c r="D134" s="74">
        <v>2500</v>
      </c>
      <c r="E134" s="74"/>
      <c r="F134" s="74"/>
      <c r="G134" s="89">
        <f>'4.pielikums'!B142</f>
        <v>3030</v>
      </c>
    </row>
    <row r="135" spans="1:7" ht="31.5">
      <c r="A135" s="76"/>
      <c r="B135" s="102" t="s">
        <v>345</v>
      </c>
      <c r="C135" s="93">
        <f t="shared" si="5"/>
        <v>4067</v>
      </c>
      <c r="D135" s="74"/>
      <c r="E135" s="74"/>
      <c r="F135" s="74"/>
      <c r="G135" s="89">
        <f>'4.pielikums'!B143</f>
        <v>4067</v>
      </c>
    </row>
    <row r="136" spans="1:7" ht="15.75">
      <c r="A136" s="76"/>
      <c r="B136" s="100" t="s">
        <v>204</v>
      </c>
      <c r="C136" s="93">
        <f t="shared" si="5"/>
        <v>1725</v>
      </c>
      <c r="D136" s="74">
        <v>1785</v>
      </c>
      <c r="E136" s="74"/>
      <c r="F136" s="74"/>
      <c r="G136" s="89">
        <f>'4.pielikums'!B144</f>
        <v>3510</v>
      </c>
    </row>
    <row r="137" spans="1:7" ht="31.5">
      <c r="A137" s="76"/>
      <c r="B137" s="100" t="s">
        <v>301</v>
      </c>
      <c r="C137" s="93">
        <f t="shared" si="5"/>
        <v>24853</v>
      </c>
      <c r="D137" s="74">
        <v>12600</v>
      </c>
      <c r="E137" s="74"/>
      <c r="F137" s="74"/>
      <c r="G137" s="89">
        <f>'4.pielikums'!B145</f>
        <v>37453</v>
      </c>
    </row>
    <row r="138" spans="1:7" ht="31.5">
      <c r="A138" s="76"/>
      <c r="B138" s="100" t="s">
        <v>203</v>
      </c>
      <c r="C138" s="93">
        <f t="shared" si="5"/>
        <v>0</v>
      </c>
      <c r="D138" s="74">
        <v>800</v>
      </c>
      <c r="E138" s="74"/>
      <c r="F138" s="74"/>
      <c r="G138" s="89">
        <f>'4.pielikums'!B146</f>
        <v>800</v>
      </c>
    </row>
    <row r="139" spans="1:7" ht="15.75">
      <c r="A139" s="76"/>
      <c r="B139" s="100" t="s">
        <v>202</v>
      </c>
      <c r="C139" s="93">
        <f t="shared" si="5"/>
        <v>2665</v>
      </c>
      <c r="D139" s="74">
        <v>3810</v>
      </c>
      <c r="E139" s="74"/>
      <c r="F139" s="74"/>
      <c r="G139" s="89">
        <f>'4.pielikums'!B147</f>
        <v>6475</v>
      </c>
    </row>
    <row r="140" spans="1:7" ht="15.75">
      <c r="A140" s="76"/>
      <c r="B140" s="100" t="s">
        <v>201</v>
      </c>
      <c r="C140" s="93">
        <f t="shared" si="5"/>
        <v>205998</v>
      </c>
      <c r="D140" s="74">
        <f>300+900+2200</f>
        <v>3400</v>
      </c>
      <c r="E140" s="74"/>
      <c r="F140" s="74"/>
      <c r="G140" s="89">
        <f>'4.pielikums'!B148</f>
        <v>209398</v>
      </c>
    </row>
    <row r="141" spans="1:7" ht="31.5">
      <c r="A141" s="76"/>
      <c r="B141" s="100" t="s">
        <v>200</v>
      </c>
      <c r="C141" s="93">
        <f t="shared" si="5"/>
        <v>0</v>
      </c>
      <c r="D141" s="74">
        <v>2315</v>
      </c>
      <c r="E141" s="74"/>
      <c r="F141" s="74"/>
      <c r="G141" s="89">
        <f>'4.pielikums'!B149</f>
        <v>2315</v>
      </c>
    </row>
    <row r="142" spans="1:7" ht="15.75">
      <c r="A142" s="76"/>
      <c r="B142" s="100" t="s">
        <v>199</v>
      </c>
      <c r="C142" s="93">
        <f t="shared" si="5"/>
        <v>7457</v>
      </c>
      <c r="D142" s="74">
        <v>45200</v>
      </c>
      <c r="E142" s="74"/>
      <c r="F142" s="74"/>
      <c r="G142" s="89">
        <f>'4.pielikums'!B150</f>
        <v>52657</v>
      </c>
    </row>
    <row r="143" spans="1:7" ht="31.5">
      <c r="A143" s="76"/>
      <c r="B143" s="100" t="s">
        <v>198</v>
      </c>
      <c r="C143" s="93">
        <f t="shared" si="5"/>
        <v>82</v>
      </c>
      <c r="D143" s="74">
        <v>9827</v>
      </c>
      <c r="E143" s="74"/>
      <c r="F143" s="74"/>
      <c r="G143" s="89">
        <f>'4.pielikums'!B151</f>
        <v>9909</v>
      </c>
    </row>
    <row r="144" spans="1:7" ht="31.5">
      <c r="A144" s="76"/>
      <c r="B144" s="100" t="s">
        <v>197</v>
      </c>
      <c r="C144" s="93">
        <f t="shared" si="5"/>
        <v>7000</v>
      </c>
      <c r="D144" s="74">
        <v>2155</v>
      </c>
      <c r="E144" s="74"/>
      <c r="F144" s="74"/>
      <c r="G144" s="89">
        <f>'4.pielikums'!B152</f>
        <v>9155</v>
      </c>
    </row>
    <row r="145" spans="1:7" ht="29.25" customHeight="1">
      <c r="A145" s="76"/>
      <c r="B145" s="100" t="s">
        <v>196</v>
      </c>
      <c r="C145" s="93">
        <f t="shared" si="5"/>
        <v>4615</v>
      </c>
      <c r="D145" s="74">
        <v>8308</v>
      </c>
      <c r="E145" s="74"/>
      <c r="F145" s="74"/>
      <c r="G145" s="89">
        <f>'4.pielikums'!B153</f>
        <v>12923</v>
      </c>
    </row>
    <row r="146" spans="1:7" ht="31.5">
      <c r="A146" s="76"/>
      <c r="B146" s="100" t="s">
        <v>195</v>
      </c>
      <c r="C146" s="93">
        <f t="shared" si="5"/>
        <v>17563</v>
      </c>
      <c r="D146" s="74">
        <v>5688</v>
      </c>
      <c r="E146" s="74"/>
      <c r="F146" s="74"/>
      <c r="G146" s="89">
        <f>'4.pielikums'!B154</f>
        <v>23251</v>
      </c>
    </row>
    <row r="147" spans="1:7" ht="31.5">
      <c r="A147" s="76"/>
      <c r="B147" s="100" t="s">
        <v>194</v>
      </c>
      <c r="C147" s="93">
        <f t="shared" si="5"/>
        <v>1770</v>
      </c>
      <c r="D147" s="74">
        <v>2200</v>
      </c>
      <c r="E147" s="74"/>
      <c r="F147" s="74"/>
      <c r="G147" s="89">
        <f>'4.pielikums'!B155</f>
        <v>3970</v>
      </c>
    </row>
    <row r="148" spans="1:7" ht="31.5">
      <c r="A148" s="76"/>
      <c r="B148" s="100" t="s">
        <v>193</v>
      </c>
      <c r="C148" s="93">
        <f t="shared" si="5"/>
        <v>13107</v>
      </c>
      <c r="D148" s="74"/>
      <c r="E148" s="74"/>
      <c r="F148" s="74"/>
      <c r="G148" s="89">
        <f>'4.pielikums'!B156</f>
        <v>13107</v>
      </c>
    </row>
    <row r="149" spans="1:7" ht="31.5">
      <c r="A149" s="76"/>
      <c r="B149" s="100" t="s">
        <v>192</v>
      </c>
      <c r="C149" s="93">
        <f t="shared" si="5"/>
        <v>23200</v>
      </c>
      <c r="D149" s="74">
        <v>6400</v>
      </c>
      <c r="E149" s="74"/>
      <c r="F149" s="74"/>
      <c r="G149" s="89">
        <f>'4.pielikums'!B157</f>
        <v>29600</v>
      </c>
    </row>
    <row r="150" spans="1:7" ht="31.5">
      <c r="A150" s="76"/>
      <c r="B150" s="100" t="s">
        <v>191</v>
      </c>
      <c r="C150" s="93">
        <f t="shared" si="5"/>
        <v>24</v>
      </c>
      <c r="D150" s="74">
        <v>5300</v>
      </c>
      <c r="E150" s="74"/>
      <c r="F150" s="74"/>
      <c r="G150" s="89">
        <f>'4.pielikums'!B158</f>
        <v>5324</v>
      </c>
    </row>
    <row r="151" spans="1:7" ht="31.5">
      <c r="A151" s="76"/>
      <c r="B151" s="100" t="s">
        <v>190</v>
      </c>
      <c r="C151" s="93">
        <f t="shared" si="5"/>
        <v>83365</v>
      </c>
      <c r="D151" s="74">
        <v>32500</v>
      </c>
      <c r="E151" s="74"/>
      <c r="F151" s="74"/>
      <c r="G151" s="89">
        <f>'4.pielikums'!B159</f>
        <v>115865</v>
      </c>
    </row>
    <row r="152" spans="1:7" ht="31.5">
      <c r="A152" s="76"/>
      <c r="B152" s="100" t="s">
        <v>189</v>
      </c>
      <c r="C152" s="93">
        <f t="shared" si="5"/>
        <v>2758</v>
      </c>
      <c r="D152" s="74"/>
      <c r="E152" s="74"/>
      <c r="F152" s="74"/>
      <c r="G152" s="89">
        <f>'4.pielikums'!B160</f>
        <v>2758</v>
      </c>
    </row>
    <row r="153" spans="1:7" ht="31.5">
      <c r="A153" s="76"/>
      <c r="B153" s="100" t="s">
        <v>188</v>
      </c>
      <c r="C153" s="93">
        <f t="shared" si="5"/>
        <v>0</v>
      </c>
      <c r="D153" s="74">
        <v>2226</v>
      </c>
      <c r="E153" s="74"/>
      <c r="F153" s="74"/>
      <c r="G153" s="89">
        <f>'4.pielikums'!B161</f>
        <v>2226</v>
      </c>
    </row>
    <row r="154" spans="1:7" ht="31.5">
      <c r="A154" s="76"/>
      <c r="B154" s="100" t="s">
        <v>187</v>
      </c>
      <c r="C154" s="93">
        <f t="shared" si="5"/>
        <v>139</v>
      </c>
      <c r="D154" s="74">
        <v>2668</v>
      </c>
      <c r="E154" s="74"/>
      <c r="F154" s="74"/>
      <c r="G154" s="89">
        <f>'4.pielikums'!B162</f>
        <v>2807</v>
      </c>
    </row>
    <row r="155" spans="1:7" ht="31.5">
      <c r="A155" s="76"/>
      <c r="B155" s="100" t="s">
        <v>186</v>
      </c>
      <c r="C155" s="93">
        <f t="shared" si="5"/>
        <v>27235</v>
      </c>
      <c r="D155" s="74">
        <v>9400</v>
      </c>
      <c r="E155" s="74"/>
      <c r="F155" s="74"/>
      <c r="G155" s="89">
        <f>'4.pielikums'!B163</f>
        <v>36635</v>
      </c>
    </row>
    <row r="156" spans="1:7" ht="15.75">
      <c r="A156" s="76"/>
      <c r="B156" s="100" t="s">
        <v>185</v>
      </c>
      <c r="C156" s="93">
        <f t="shared" si="5"/>
        <v>0</v>
      </c>
      <c r="D156" s="74">
        <v>1661</v>
      </c>
      <c r="E156" s="74"/>
      <c r="F156" s="74"/>
      <c r="G156" s="89">
        <f>'4.pielikums'!B164</f>
        <v>1661</v>
      </c>
    </row>
    <row r="157" spans="1:7" ht="31.5">
      <c r="A157" s="76"/>
      <c r="B157" s="100" t="s">
        <v>184</v>
      </c>
      <c r="C157" s="93">
        <f t="shared" si="5"/>
        <v>20118</v>
      </c>
      <c r="D157" s="74"/>
      <c r="E157" s="74"/>
      <c r="F157" s="74"/>
      <c r="G157" s="89">
        <f>'4.pielikums'!B165</f>
        <v>20118</v>
      </c>
    </row>
    <row r="158" spans="1:7" ht="31.5">
      <c r="A158" s="76"/>
      <c r="B158" s="100" t="s">
        <v>183</v>
      </c>
      <c r="C158" s="93">
        <f t="shared" si="5"/>
        <v>1011</v>
      </c>
      <c r="D158" s="74">
        <v>4589</v>
      </c>
      <c r="E158" s="74"/>
      <c r="F158" s="74"/>
      <c r="G158" s="89">
        <f>'4.pielikums'!B166</f>
        <v>5600</v>
      </c>
    </row>
    <row r="159" spans="1:7" ht="31.5">
      <c r="A159" s="76"/>
      <c r="B159" s="100" t="s">
        <v>182</v>
      </c>
      <c r="C159" s="93">
        <f t="shared" si="5"/>
        <v>17052</v>
      </c>
      <c r="D159" s="74"/>
      <c r="E159" s="74"/>
      <c r="F159" s="74"/>
      <c r="G159" s="89">
        <f>'4.pielikums'!B167</f>
        <v>17052</v>
      </c>
    </row>
    <row r="160" spans="1:7" ht="39" customHeight="1">
      <c r="A160" s="76"/>
      <c r="B160" s="100" t="s">
        <v>181</v>
      </c>
      <c r="C160" s="93">
        <f t="shared" si="5"/>
        <v>66212</v>
      </c>
      <c r="D160" s="74">
        <f>48800+15300</f>
        <v>64100</v>
      </c>
      <c r="E160" s="74"/>
      <c r="F160" s="74"/>
      <c r="G160" s="89">
        <f>'4.pielikums'!B168</f>
        <v>130312</v>
      </c>
    </row>
    <row r="161" spans="1:7" ht="31.5">
      <c r="A161" s="76"/>
      <c r="B161" s="100" t="s">
        <v>180</v>
      </c>
      <c r="C161" s="93">
        <f t="shared" si="5"/>
        <v>19131</v>
      </c>
      <c r="D161" s="74">
        <f>15900+800</f>
        <v>16700</v>
      </c>
      <c r="E161" s="74"/>
      <c r="F161" s="74"/>
      <c r="G161" s="89">
        <f>'4.pielikums'!B169</f>
        <v>35831</v>
      </c>
    </row>
    <row r="162" spans="1:7" ht="31.5">
      <c r="A162" s="76"/>
      <c r="B162" s="100" t="s">
        <v>179</v>
      </c>
      <c r="C162" s="93">
        <f t="shared" si="5"/>
        <v>19451</v>
      </c>
      <c r="D162" s="74">
        <f>54770+10347</f>
        <v>65117</v>
      </c>
      <c r="E162" s="74"/>
      <c r="F162" s="74"/>
      <c r="G162" s="89">
        <f>'4.pielikums'!B170</f>
        <v>84568</v>
      </c>
    </row>
    <row r="163" spans="1:7" ht="31.5">
      <c r="A163" s="76"/>
      <c r="B163" s="100" t="s">
        <v>178</v>
      </c>
      <c r="C163" s="93">
        <f t="shared" si="5"/>
        <v>2868</v>
      </c>
      <c r="D163" s="74">
        <v>2500</v>
      </c>
      <c r="E163" s="74"/>
      <c r="F163" s="74"/>
      <c r="G163" s="89">
        <f>'4.pielikums'!B171</f>
        <v>5368</v>
      </c>
    </row>
    <row r="164" spans="1:7" ht="15.75">
      <c r="A164" s="76"/>
      <c r="B164" s="100" t="s">
        <v>177</v>
      </c>
      <c r="C164" s="93">
        <f t="shared" si="5"/>
        <v>9867</v>
      </c>
      <c r="D164" s="74">
        <v>469</v>
      </c>
      <c r="E164" s="74"/>
      <c r="F164" s="74"/>
      <c r="G164" s="89">
        <f>'4.pielikums'!B172</f>
        <v>10336</v>
      </c>
    </row>
    <row r="165" spans="1:7" ht="31.5">
      <c r="A165" s="76"/>
      <c r="B165" s="100" t="s">
        <v>176</v>
      </c>
      <c r="C165" s="93">
        <f t="shared" si="5"/>
        <v>7253</v>
      </c>
      <c r="D165" s="74"/>
      <c r="E165" s="74"/>
      <c r="F165" s="74"/>
      <c r="G165" s="89">
        <f>'4.pielikums'!B173</f>
        <v>7253</v>
      </c>
    </row>
    <row r="166" spans="1:7" ht="31.5">
      <c r="A166" s="76"/>
      <c r="B166" s="104" t="s">
        <v>233</v>
      </c>
      <c r="C166" s="93">
        <f t="shared" si="5"/>
        <v>95867</v>
      </c>
      <c r="D166" s="74">
        <v>3400</v>
      </c>
      <c r="E166" s="74"/>
      <c r="F166" s="74"/>
      <c r="G166" s="89">
        <f>'4.pielikums'!B174</f>
        <v>99267</v>
      </c>
    </row>
    <row r="167" spans="1:7" ht="36.75" customHeight="1">
      <c r="A167" s="76"/>
      <c r="B167" s="104" t="s">
        <v>234</v>
      </c>
      <c r="C167" s="93">
        <f t="shared" si="5"/>
        <v>176388</v>
      </c>
      <c r="D167" s="74">
        <v>1900</v>
      </c>
      <c r="E167" s="74"/>
      <c r="F167" s="74"/>
      <c r="G167" s="89">
        <f>'4.pielikums'!B176</f>
        <v>178288</v>
      </c>
    </row>
    <row r="168" spans="1:7" ht="15.75">
      <c r="A168" s="76"/>
      <c r="B168" s="106" t="s">
        <v>235</v>
      </c>
      <c r="C168" s="93">
        <f t="shared" si="5"/>
        <v>401</v>
      </c>
      <c r="D168" s="74">
        <v>6915</v>
      </c>
      <c r="E168" s="74"/>
      <c r="F168" s="74"/>
      <c r="G168" s="89">
        <f>'4.pielikums'!B177</f>
        <v>7316</v>
      </c>
    </row>
    <row r="169" spans="1:7" ht="15.75">
      <c r="A169" s="76"/>
      <c r="B169" s="106" t="s">
        <v>236</v>
      </c>
      <c r="C169" s="93">
        <f t="shared" si="5"/>
        <v>2239</v>
      </c>
      <c r="D169" s="74">
        <v>4230</v>
      </c>
      <c r="E169" s="74"/>
      <c r="F169" s="74"/>
      <c r="G169" s="89">
        <f>'4.pielikums'!B179</f>
        <v>6469</v>
      </c>
    </row>
    <row r="170" spans="1:7" ht="31.5">
      <c r="A170" s="76"/>
      <c r="B170" s="104" t="s">
        <v>232</v>
      </c>
      <c r="C170" s="93">
        <f t="shared" si="5"/>
        <v>18000</v>
      </c>
      <c r="D170" s="74"/>
      <c r="E170" s="74"/>
      <c r="F170" s="74"/>
      <c r="G170" s="89">
        <f>'4.pielikums'!B181</f>
        <v>18000</v>
      </c>
    </row>
    <row r="171" spans="1:7" ht="15.75">
      <c r="A171" s="76"/>
      <c r="B171" s="107" t="s">
        <v>306</v>
      </c>
      <c r="C171" s="93">
        <v>150000</v>
      </c>
      <c r="D171" s="74"/>
      <c r="E171" s="74"/>
      <c r="F171" s="74"/>
      <c r="G171" s="89">
        <f>'4.pielikums'!B389</f>
        <v>150000</v>
      </c>
    </row>
    <row r="172" spans="1:7" ht="15.75">
      <c r="A172" s="90" t="s">
        <v>74</v>
      </c>
      <c r="B172" s="91" t="s">
        <v>75</v>
      </c>
      <c r="C172" s="75">
        <f>SUM(C173:C186)</f>
        <v>39605</v>
      </c>
      <c r="D172" s="75">
        <f t="shared" si="8" ref="D172:F172">=SUM(D173:D186)</f>
        <v>451</v>
      </c>
      <c r="E172" s="75">
        <f t="shared" si="8"/>
        <v>190796</v>
      </c>
      <c r="F172" s="75">
        <f t="shared" si="8"/>
        <v>0</v>
      </c>
      <c r="G172" s="89">
        <f>SUM(G173:G186)</f>
        <v>230852</v>
      </c>
    </row>
    <row r="173" spans="1:7" ht="34.5" customHeight="1">
      <c r="A173" s="76"/>
      <c r="B173" s="94" t="s">
        <v>76</v>
      </c>
      <c r="C173" s="74">
        <f>G173-D173-E173</f>
        <v>3649</v>
      </c>
      <c r="D173" s="74">
        <v>200</v>
      </c>
      <c r="E173" s="74">
        <v>10487</v>
      </c>
      <c r="F173" s="74"/>
      <c r="G173" s="89">
        <f>'4.pielikums'!B184</f>
        <v>14336</v>
      </c>
    </row>
    <row r="174" spans="1:7" ht="15.75">
      <c r="A174" s="76"/>
      <c r="B174" s="94" t="s">
        <v>77</v>
      </c>
      <c r="C174" s="93">
        <f>G174-E174-D174</f>
        <v>2673</v>
      </c>
      <c r="D174" s="74">
        <v>60</v>
      </c>
      <c r="E174" s="74">
        <v>10487</v>
      </c>
      <c r="F174" s="74"/>
      <c r="G174" s="89">
        <f>'4.pielikums'!B185</f>
        <v>13220</v>
      </c>
    </row>
    <row r="175" spans="1:7" ht="15.75">
      <c r="A175" s="76"/>
      <c r="B175" s="94" t="s">
        <v>78</v>
      </c>
      <c r="C175" s="93">
        <f>G175-D175-E175</f>
        <v>794</v>
      </c>
      <c r="D175" s="74">
        <v>70</v>
      </c>
      <c r="E175" s="74">
        <v>10487</v>
      </c>
      <c r="F175" s="74"/>
      <c r="G175" s="89">
        <f>'4.pielikums'!B186</f>
        <v>11351</v>
      </c>
    </row>
    <row r="176" spans="1:7" ht="15.75">
      <c r="A176" s="76"/>
      <c r="B176" s="94" t="s">
        <v>240</v>
      </c>
      <c r="C176" s="93">
        <f t="shared" si="9" ref="C176:C183">=G176-D176-E176</f>
        <v>2352</v>
      </c>
      <c r="D176" s="74"/>
      <c r="E176" s="74">
        <v>10487</v>
      </c>
      <c r="F176" s="74"/>
      <c r="G176" s="89">
        <f>'4.pielikums'!B187</f>
        <v>12839</v>
      </c>
    </row>
    <row r="177" spans="1:7" ht="32.25" customHeight="1">
      <c r="A177" s="76"/>
      <c r="B177" s="94" t="s">
        <v>79</v>
      </c>
      <c r="C177" s="93">
        <f t="shared" si="9"/>
        <v>317</v>
      </c>
      <c r="D177" s="74">
        <v>25</v>
      </c>
      <c r="E177" s="74">
        <v>10487</v>
      </c>
      <c r="F177" s="74"/>
      <c r="G177" s="89">
        <f>'4.pielikums'!B188</f>
        <v>10829</v>
      </c>
    </row>
    <row r="178" spans="1:7" ht="15.75">
      <c r="A178" s="76"/>
      <c r="B178" s="94" t="s">
        <v>237</v>
      </c>
      <c r="C178" s="93">
        <f t="shared" si="9"/>
        <v>4115</v>
      </c>
      <c r="D178" s="74"/>
      <c r="E178" s="74">
        <v>10487</v>
      </c>
      <c r="F178" s="74"/>
      <c r="G178" s="89">
        <f>'4.pielikums'!B189</f>
        <v>14602</v>
      </c>
    </row>
    <row r="179" spans="1:7" ht="15.75">
      <c r="A179" s="76"/>
      <c r="B179" s="100" t="s">
        <v>241</v>
      </c>
      <c r="C179" s="93">
        <f t="shared" si="9"/>
        <v>3165</v>
      </c>
      <c r="D179" s="74">
        <v>51</v>
      </c>
      <c r="E179" s="74">
        <v>10487</v>
      </c>
      <c r="F179" s="74"/>
      <c r="G179" s="89">
        <f>'4.pielikums'!B190</f>
        <v>13703</v>
      </c>
    </row>
    <row r="180" spans="1:7" ht="15.75">
      <c r="A180" s="76"/>
      <c r="B180" s="94" t="s">
        <v>80</v>
      </c>
      <c r="C180" s="93">
        <f t="shared" si="9"/>
        <v>3689</v>
      </c>
      <c r="D180" s="74">
        <v>25</v>
      </c>
      <c r="E180" s="74">
        <v>10487</v>
      </c>
      <c r="F180" s="74"/>
      <c r="G180" s="89">
        <f>'4.pielikums'!B191</f>
        <v>14201</v>
      </c>
    </row>
    <row r="181" spans="1:7" ht="15.75">
      <c r="A181" s="76"/>
      <c r="B181" s="94" t="s">
        <v>81</v>
      </c>
      <c r="C181" s="93">
        <f t="shared" si="9"/>
        <v>1568</v>
      </c>
      <c r="D181" s="74">
        <v>20</v>
      </c>
      <c r="E181" s="74">
        <v>10487</v>
      </c>
      <c r="F181" s="74"/>
      <c r="G181" s="89">
        <f>'4.pielikums'!B192</f>
        <v>12075</v>
      </c>
    </row>
    <row r="182" spans="1:7" ht="47.25">
      <c r="A182" s="76"/>
      <c r="B182" s="99" t="s">
        <v>123</v>
      </c>
      <c r="C182" s="93">
        <f>G182-D182-E182</f>
        <v>6997</v>
      </c>
      <c r="D182" s="74"/>
      <c r="E182" s="93">
        <v>33003</v>
      </c>
      <c r="F182" s="74"/>
      <c r="G182" s="89">
        <f>'4.pielikums'!B194</f>
        <v>40000</v>
      </c>
    </row>
    <row r="183" spans="1:7" ht="77.25" customHeight="1">
      <c r="A183" s="76"/>
      <c r="B183" s="104" t="s">
        <v>210</v>
      </c>
      <c r="C183" s="93">
        <f t="shared" si="9"/>
        <v>629</v>
      </c>
      <c r="D183" s="74"/>
      <c r="E183" s="74">
        <v>11311</v>
      </c>
      <c r="F183" s="74"/>
      <c r="G183" s="89">
        <f>'4.pielikums'!B195</f>
        <v>11940</v>
      </c>
    </row>
    <row r="184" spans="1:7" ht="34.5" customHeight="1">
      <c r="A184" s="76"/>
      <c r="B184" s="107" t="s">
        <v>239</v>
      </c>
      <c r="C184" s="74">
        <v>3672</v>
      </c>
      <c r="D184" s="74"/>
      <c r="E184" s="74">
        <v>3198</v>
      </c>
      <c r="F184" s="74"/>
      <c r="G184" s="89">
        <f>'4.pielikums'!B196</f>
        <v>6870</v>
      </c>
    </row>
    <row r="185" spans="1:7" ht="56.25" customHeight="1">
      <c r="A185" s="76"/>
      <c r="B185" s="100" t="s">
        <v>347</v>
      </c>
      <c r="C185" s="93">
        <f>G185-E185-D185</f>
        <v>5985</v>
      </c>
      <c r="D185" s="74"/>
      <c r="E185" s="74">
        <v>14015</v>
      </c>
      <c r="F185" s="74"/>
      <c r="G185" s="89">
        <f>'4.pielikums'!B198</f>
        <v>20000</v>
      </c>
    </row>
    <row r="186" spans="1:7" ht="15.75">
      <c r="A186" s="76"/>
      <c r="B186" s="99" t="s">
        <v>238</v>
      </c>
      <c r="C186" s="74"/>
      <c r="D186" s="74"/>
      <c r="E186" s="74">
        <v>34886</v>
      </c>
      <c r="F186" s="74"/>
      <c r="G186" s="89">
        <f>'4.pielikums'!B193</f>
        <v>34886</v>
      </c>
    </row>
    <row r="187" spans="1:7" ht="15.75">
      <c r="A187" s="90" t="s">
        <v>82</v>
      </c>
      <c r="B187" s="91" t="s">
        <v>83</v>
      </c>
      <c r="C187" s="75">
        <f>C188+C194+C196+C202+C227</f>
        <v>2537668</v>
      </c>
      <c r="D187" s="75">
        <f>D188+D194+D196+D202+D227</f>
        <v>79297</v>
      </c>
      <c r="E187" s="75">
        <f>E188+E194+E196+E202+E227</f>
        <v>921582</v>
      </c>
      <c r="F187" s="75">
        <f>F188+F194+F196+F202+F227</f>
        <v>1000000</v>
      </c>
      <c r="G187" s="89">
        <f>G188+G194+G196+G202+G227</f>
        <v>4538547</v>
      </c>
    </row>
    <row r="188" spans="1:7" ht="15.75">
      <c r="A188" s="90"/>
      <c r="B188" s="91" t="s">
        <v>84</v>
      </c>
      <c r="C188" s="75">
        <f>SUM(C189:C192)</f>
        <v>175126</v>
      </c>
      <c r="D188" s="75">
        <f>SUM(D189:D192)</f>
        <v>1000</v>
      </c>
      <c r="E188" s="75">
        <f>SUM(E189:E192)</f>
        <v>0</v>
      </c>
      <c r="F188" s="75">
        <f>SUM(F189:F192)</f>
        <v>0</v>
      </c>
      <c r="G188" s="89">
        <f>SUM(G189:G192)</f>
        <v>176126</v>
      </c>
    </row>
    <row r="189" spans="1:7" ht="15.75">
      <c r="A189" s="76"/>
      <c r="B189" s="92" t="s">
        <v>289</v>
      </c>
      <c r="C189" s="74">
        <f>G189-D189</f>
        <v>90038</v>
      </c>
      <c r="D189" s="74"/>
      <c r="E189" s="74"/>
      <c r="F189" s="74"/>
      <c r="G189" s="89">
        <f>'4.pielikums'!B199</f>
        <v>90038</v>
      </c>
    </row>
    <row r="190" spans="1:7" ht="34.5" customHeight="1">
      <c r="A190" s="76"/>
      <c r="B190" s="94" t="s">
        <v>334</v>
      </c>
      <c r="C190" s="74">
        <f>G190-D190</f>
        <v>45833</v>
      </c>
      <c r="D190" s="74">
        <v>0</v>
      </c>
      <c r="E190" s="74"/>
      <c r="F190" s="74"/>
      <c r="G190" s="89">
        <f>'4.pielikums'!B201</f>
        <v>45833</v>
      </c>
    </row>
    <row r="191" spans="1:7" ht="15.75">
      <c r="A191" s="76"/>
      <c r="B191" s="92" t="s">
        <v>85</v>
      </c>
      <c r="C191" s="74">
        <f>G191</f>
        <v>11365</v>
      </c>
      <c r="D191" s="74"/>
      <c r="E191" s="74"/>
      <c r="F191" s="74"/>
      <c r="G191" s="89">
        <f>'4.pielikums'!B203</f>
        <v>11365</v>
      </c>
    </row>
    <row r="192" spans="1:7" ht="15.75">
      <c r="A192" s="76"/>
      <c r="B192" s="94" t="s">
        <v>381</v>
      </c>
      <c r="C192" s="93">
        <f>G192-D192</f>
        <v>27890</v>
      </c>
      <c r="D192" s="74">
        <v>1000</v>
      </c>
      <c r="E192" s="74"/>
      <c r="F192" s="74"/>
      <c r="G192" s="89">
        <f>'4.pielikums'!B205</f>
        <v>28890</v>
      </c>
    </row>
    <row r="193" spans="1:7" ht="15.75">
      <c r="A193" s="90"/>
      <c r="B193" s="91" t="s">
        <v>86</v>
      </c>
      <c r="C193" s="108"/>
      <c r="D193" s="108"/>
      <c r="E193" s="108"/>
      <c r="F193" s="108"/>
      <c r="G193" s="90"/>
    </row>
    <row r="194" spans="1:7" ht="15.75">
      <c r="A194" s="90"/>
      <c r="B194" s="91" t="s">
        <v>87</v>
      </c>
      <c r="C194" s="75">
        <f>SUM(C195:C195)</f>
        <v>509707</v>
      </c>
      <c r="D194" s="75">
        <f>SUM(D195:D195)</f>
        <v>3314</v>
      </c>
      <c r="E194" s="75">
        <f>SUM(E195:E195)</f>
        <v>0</v>
      </c>
      <c r="F194" s="75">
        <f>SUM(F195:F195)</f>
        <v>0</v>
      </c>
      <c r="G194" s="89">
        <f>SUM(G195:G195)</f>
        <v>513021</v>
      </c>
    </row>
    <row r="195" spans="1:7" ht="15.75">
      <c r="A195" s="76"/>
      <c r="B195" s="92" t="s">
        <v>39</v>
      </c>
      <c r="C195" s="93">
        <f>G195-E195-D195</f>
        <v>509707</v>
      </c>
      <c r="D195" s="74">
        <v>3314</v>
      </c>
      <c r="E195" s="74"/>
      <c r="F195" s="74"/>
      <c r="G195" s="89">
        <f>'4.pielikums'!B206</f>
        <v>513021</v>
      </c>
    </row>
    <row r="196" spans="1:7" ht="15.75">
      <c r="A196" s="90"/>
      <c r="B196" s="91" t="s">
        <v>88</v>
      </c>
      <c r="C196" s="75">
        <f>SUM(C197:C201)</f>
        <v>246871</v>
      </c>
      <c r="D196" s="75">
        <f>SUM(D197:D201)</f>
        <v>10250</v>
      </c>
      <c r="E196" s="75">
        <f>SUM(E197:E201)</f>
        <v>0</v>
      </c>
      <c r="F196" s="75">
        <f>SUM(F197:F201)</f>
        <v>0</v>
      </c>
      <c r="G196" s="89">
        <f>SUM(G197:G201)</f>
        <v>257121</v>
      </c>
    </row>
    <row r="197" spans="1:7" ht="15.75">
      <c r="A197" s="76"/>
      <c r="B197" s="92" t="s">
        <v>338</v>
      </c>
      <c r="C197" s="93">
        <f>G197-D197</f>
        <v>125367</v>
      </c>
      <c r="D197" s="74">
        <v>8100</v>
      </c>
      <c r="E197" s="74"/>
      <c r="F197" s="74"/>
      <c r="G197" s="89">
        <f>'4.pielikums'!B208</f>
        <v>133467</v>
      </c>
    </row>
    <row r="198" spans="1:7" ht="15.75">
      <c r="A198" s="76"/>
      <c r="B198" s="104" t="s">
        <v>214</v>
      </c>
      <c r="C198" s="93">
        <f t="shared" si="10" ref="C198:C201">=G198-D198</f>
        <v>10683</v>
      </c>
      <c r="D198" s="74"/>
      <c r="E198" s="74"/>
      <c r="F198" s="74"/>
      <c r="G198" s="89">
        <f>'4.pielikums'!B207</f>
        <v>10683</v>
      </c>
    </row>
    <row r="199" spans="1:7" ht="15.75">
      <c r="A199" s="76"/>
      <c r="B199" s="92" t="s">
        <v>242</v>
      </c>
      <c r="C199" s="93">
        <f t="shared" si="10"/>
        <v>55321</v>
      </c>
      <c r="D199" s="74">
        <v>200</v>
      </c>
      <c r="E199" s="74"/>
      <c r="F199" s="74"/>
      <c r="G199" s="89">
        <f>'4.pielikums'!B210</f>
        <v>55521</v>
      </c>
    </row>
    <row r="200" spans="1:7" ht="15.75">
      <c r="A200" s="76"/>
      <c r="B200" s="100" t="s">
        <v>213</v>
      </c>
      <c r="C200" s="93">
        <f t="shared" si="10"/>
        <v>41307</v>
      </c>
      <c r="D200" s="74">
        <v>1150</v>
      </c>
      <c r="E200" s="74"/>
      <c r="F200" s="74"/>
      <c r="G200" s="89">
        <f>'4.pielikums'!B211</f>
        <v>42457</v>
      </c>
    </row>
    <row r="201" spans="1:7" ht="31.5">
      <c r="A201" s="76"/>
      <c r="B201" s="100" t="s">
        <v>212</v>
      </c>
      <c r="C201" s="93">
        <f t="shared" si="10"/>
        <v>14193</v>
      </c>
      <c r="D201" s="74">
        <v>800</v>
      </c>
      <c r="E201" s="74"/>
      <c r="F201" s="74"/>
      <c r="G201" s="89">
        <f>'4.pielikums'!B212</f>
        <v>14993</v>
      </c>
    </row>
    <row r="202" spans="1:7" ht="15.75">
      <c r="A202" s="90"/>
      <c r="B202" s="91" t="s">
        <v>89</v>
      </c>
      <c r="C202" s="75">
        <f>SUM(C203:C226)</f>
        <v>985377</v>
      </c>
      <c r="D202" s="75">
        <f>SUM(D203:D226)</f>
        <v>64733</v>
      </c>
      <c r="E202" s="75">
        <f>SUM(E203:E226)</f>
        <v>26730</v>
      </c>
      <c r="F202" s="75">
        <f>SUM(F203:F226)</f>
        <v>0</v>
      </c>
      <c r="G202" s="89">
        <f>SUM(G203:G226)</f>
        <v>1076840</v>
      </c>
    </row>
    <row r="203" spans="1:7" ht="15.75">
      <c r="A203" s="76"/>
      <c r="B203" s="92" t="s">
        <v>146</v>
      </c>
      <c r="C203" s="93">
        <f>G203-D203-E203</f>
        <v>231569</v>
      </c>
      <c r="D203" s="74">
        <v>4081</v>
      </c>
      <c r="E203" s="74">
        <v>5670</v>
      </c>
      <c r="F203" s="74"/>
      <c r="G203" s="89">
        <f>'4.pielikums'!B213</f>
        <v>241320</v>
      </c>
    </row>
    <row r="204" spans="1:7" ht="15.75">
      <c r="A204" s="76"/>
      <c r="B204" s="92" t="s">
        <v>332</v>
      </c>
      <c r="C204" s="93">
        <f>G204-D204-E204</f>
        <v>19811</v>
      </c>
      <c r="D204" s="74">
        <v>130</v>
      </c>
      <c r="E204" s="74"/>
      <c r="F204" s="74"/>
      <c r="G204" s="89">
        <f>'4.pielikums'!B217</f>
        <v>19941</v>
      </c>
    </row>
    <row r="205" spans="1:7" ht="15.75">
      <c r="A205" s="76"/>
      <c r="B205" s="94" t="s">
        <v>90</v>
      </c>
      <c r="C205" s="93">
        <f t="shared" si="11" ref="C205:C225">=G205-D205-E205</f>
        <v>38184</v>
      </c>
      <c r="D205" s="74">
        <v>100</v>
      </c>
      <c r="E205" s="74">
        <v>1620</v>
      </c>
      <c r="F205" s="74"/>
      <c r="G205" s="89">
        <f>'4.pielikums'!B222</f>
        <v>39904</v>
      </c>
    </row>
    <row r="206" spans="1:7" ht="15.75">
      <c r="A206" s="76"/>
      <c r="B206" s="92" t="s">
        <v>326</v>
      </c>
      <c r="C206" s="93">
        <f t="shared" si="11"/>
        <v>42808</v>
      </c>
      <c r="D206" s="74">
        <v>550</v>
      </c>
      <c r="E206" s="74">
        <v>405</v>
      </c>
      <c r="F206" s="74"/>
      <c r="G206" s="89">
        <f>'4.pielikums'!B221</f>
        <v>43763</v>
      </c>
    </row>
    <row r="207" spans="1:7" ht="15.75">
      <c r="A207" s="76"/>
      <c r="B207" s="92" t="s">
        <v>42</v>
      </c>
      <c r="C207" s="93">
        <f t="shared" si="11"/>
        <v>25151</v>
      </c>
      <c r="D207" s="74">
        <v>100</v>
      </c>
      <c r="E207" s="74">
        <v>405</v>
      </c>
      <c r="F207" s="74"/>
      <c r="G207" s="89">
        <f>'4.pielikums'!B223</f>
        <v>25656</v>
      </c>
    </row>
    <row r="208" spans="1:7" ht="15.75">
      <c r="A208" s="76"/>
      <c r="B208" s="92" t="s">
        <v>43</v>
      </c>
      <c r="C208" s="93">
        <f>G208-E208-D208</f>
        <v>49161</v>
      </c>
      <c r="D208" s="74">
        <v>817</v>
      </c>
      <c r="E208" s="74">
        <v>1620</v>
      </c>
      <c r="F208" s="74"/>
      <c r="G208" s="89">
        <f>'4.pielikums'!B224</f>
        <v>51598</v>
      </c>
    </row>
    <row r="209" spans="1:7" ht="15.75">
      <c r="A209" s="76"/>
      <c r="B209" s="92" t="s">
        <v>352</v>
      </c>
      <c r="C209" s="93">
        <f t="shared" si="11"/>
        <v>42041</v>
      </c>
      <c r="D209" s="74">
        <v>800</v>
      </c>
      <c r="E209" s="74">
        <v>1215</v>
      </c>
      <c r="F209" s="74"/>
      <c r="G209" s="89">
        <f>'4.pielikums'!B225</f>
        <v>44056</v>
      </c>
    </row>
    <row r="210" spans="1:7" ht="15.75">
      <c r="A210" s="76"/>
      <c r="B210" s="99" t="s">
        <v>339</v>
      </c>
      <c r="C210" s="93">
        <f t="shared" si="11"/>
        <v>33982</v>
      </c>
      <c r="D210" s="74">
        <v>170</v>
      </c>
      <c r="E210" s="74">
        <v>405</v>
      </c>
      <c r="F210" s="74"/>
      <c r="G210" s="89">
        <f>'4.pielikums'!B226</f>
        <v>34557</v>
      </c>
    </row>
    <row r="211" spans="1:7" ht="15.75">
      <c r="A211" s="76"/>
      <c r="B211" s="92" t="s">
        <v>44</v>
      </c>
      <c r="C211" s="93">
        <f t="shared" si="11"/>
        <v>23638</v>
      </c>
      <c r="D211" s="74">
        <v>200</v>
      </c>
      <c r="E211" s="74">
        <v>810</v>
      </c>
      <c r="F211" s="74"/>
      <c r="G211" s="89">
        <f>'4.pielikums'!B228</f>
        <v>24648</v>
      </c>
    </row>
    <row r="212" spans="1:7" ht="15.75">
      <c r="A212" s="76"/>
      <c r="B212" s="92" t="s">
        <v>323</v>
      </c>
      <c r="C212" s="93">
        <f t="shared" si="11"/>
        <v>15675</v>
      </c>
      <c r="D212" s="74">
        <v>10</v>
      </c>
      <c r="E212" s="74"/>
      <c r="F212" s="74"/>
      <c r="G212" s="89">
        <f>'4.pielikums'!B219</f>
        <v>15685</v>
      </c>
    </row>
    <row r="213" spans="1:7" ht="15.75">
      <c r="A213" s="76"/>
      <c r="B213" s="92" t="s">
        <v>333</v>
      </c>
      <c r="C213" s="93">
        <f t="shared" si="11"/>
        <v>12177</v>
      </c>
      <c r="D213" s="74"/>
      <c r="E213" s="74"/>
      <c r="F213" s="74"/>
      <c r="G213" s="89">
        <f>'4.pielikums'!B220</f>
        <v>12177</v>
      </c>
    </row>
    <row r="214" spans="1:7" ht="15.75">
      <c r="A214" s="76"/>
      <c r="B214" s="94" t="s">
        <v>315</v>
      </c>
      <c r="C214" s="93">
        <f t="shared" si="11"/>
        <v>63172</v>
      </c>
      <c r="D214" s="74">
        <v>1120</v>
      </c>
      <c r="E214" s="74">
        <v>3240</v>
      </c>
      <c r="F214" s="74"/>
      <c r="G214" s="89">
        <f>'4.pielikums'!B229</f>
        <v>67532</v>
      </c>
    </row>
    <row r="215" spans="1:7" ht="15.75">
      <c r="A215" s="76"/>
      <c r="B215" s="94" t="s">
        <v>209</v>
      </c>
      <c r="C215" s="93">
        <f t="shared" si="11"/>
        <v>45422</v>
      </c>
      <c r="D215" s="74">
        <v>3180</v>
      </c>
      <c r="E215" s="74">
        <v>405</v>
      </c>
      <c r="F215" s="74"/>
      <c r="G215" s="89">
        <f>'4.pielikums'!B230</f>
        <v>49007</v>
      </c>
    </row>
    <row r="216" spans="1:7" ht="31.5">
      <c r="A216" s="76"/>
      <c r="B216" s="100" t="s">
        <v>251</v>
      </c>
      <c r="C216" s="93">
        <f t="shared" si="11"/>
        <v>30457</v>
      </c>
      <c r="D216" s="74">
        <v>200</v>
      </c>
      <c r="E216" s="74">
        <v>1620</v>
      </c>
      <c r="F216" s="74"/>
      <c r="G216" s="89">
        <f>'4.pielikums'!B233</f>
        <v>32277</v>
      </c>
    </row>
    <row r="217" spans="1:7" ht="15.75">
      <c r="A217" s="76"/>
      <c r="B217" s="100" t="s">
        <v>250</v>
      </c>
      <c r="C217" s="93">
        <f t="shared" si="11"/>
        <v>12744</v>
      </c>
      <c r="D217" s="74"/>
      <c r="E217" s="74"/>
      <c r="F217" s="74"/>
      <c r="G217" s="89">
        <f>'4.pielikums'!B234</f>
        <v>12744</v>
      </c>
    </row>
    <row r="218" spans="1:7" ht="15.75">
      <c r="A218" s="76"/>
      <c r="B218" s="100" t="s">
        <v>249</v>
      </c>
      <c r="C218" s="93">
        <f t="shared" si="11"/>
        <v>32516</v>
      </c>
      <c r="D218" s="74">
        <v>500</v>
      </c>
      <c r="E218" s="74">
        <v>810</v>
      </c>
      <c r="F218" s="74"/>
      <c r="G218" s="89">
        <f>'4.pielikums'!B235</f>
        <v>33826</v>
      </c>
    </row>
    <row r="219" spans="1:7" ht="31.5">
      <c r="A219" s="76"/>
      <c r="B219" s="100" t="s">
        <v>314</v>
      </c>
      <c r="C219" s="93">
        <f>G219-D219-E219-F219</f>
        <v>61651</v>
      </c>
      <c r="D219" s="74">
        <f>1400+100</f>
        <v>1500</v>
      </c>
      <c r="E219" s="74">
        <v>1215</v>
      </c>
      <c r="F219" s="74"/>
      <c r="G219" s="89">
        <f>'4.pielikums'!B236</f>
        <v>64366</v>
      </c>
    </row>
    <row r="220" spans="1:7" ht="15.75">
      <c r="A220" s="76"/>
      <c r="B220" s="100" t="s">
        <v>247</v>
      </c>
      <c r="C220" s="93">
        <f t="shared" si="11"/>
        <v>78420</v>
      </c>
      <c r="D220" s="74">
        <f>4300+11531</f>
        <v>15831</v>
      </c>
      <c r="E220" s="74">
        <v>4455</v>
      </c>
      <c r="F220" s="74"/>
      <c r="G220" s="89">
        <f>'4.pielikums'!B238</f>
        <v>98706</v>
      </c>
    </row>
    <row r="221" spans="1:7" ht="15.75">
      <c r="A221" s="76"/>
      <c r="B221" s="100" t="s">
        <v>246</v>
      </c>
      <c r="C221" s="93">
        <f t="shared" si="11"/>
        <v>38875</v>
      </c>
      <c r="D221" s="74">
        <v>290</v>
      </c>
      <c r="E221" s="74">
        <v>810</v>
      </c>
      <c r="F221" s="74"/>
      <c r="G221" s="89">
        <f>'4.pielikums'!B240</f>
        <v>39975</v>
      </c>
    </row>
    <row r="222" spans="1:7" ht="15.75">
      <c r="A222" s="76"/>
      <c r="B222" s="100" t="s">
        <v>281</v>
      </c>
      <c r="C222" s="93">
        <f t="shared" si="11"/>
        <v>5326</v>
      </c>
      <c r="D222" s="74">
        <v>134</v>
      </c>
      <c r="E222" s="74"/>
      <c r="F222" s="74"/>
      <c r="G222" s="89">
        <f>'4.pielikums'!B241</f>
        <v>5460</v>
      </c>
    </row>
    <row r="223" spans="1:7" ht="15.75">
      <c r="A223" s="76"/>
      <c r="B223" s="100" t="s">
        <v>244</v>
      </c>
      <c r="C223" s="93">
        <f t="shared" si="11"/>
        <v>1352</v>
      </c>
      <c r="D223" s="74"/>
      <c r="E223" s="74"/>
      <c r="F223" s="74"/>
      <c r="G223" s="89">
        <f>'4.pielikums'!B242</f>
        <v>1352</v>
      </c>
    </row>
    <row r="224" spans="1:7" ht="15.75">
      <c r="A224" s="76"/>
      <c r="B224" s="94" t="s">
        <v>243</v>
      </c>
      <c r="C224" s="93">
        <f t="shared" si="11"/>
        <v>40246</v>
      </c>
      <c r="D224" s="74"/>
      <c r="E224" s="74">
        <v>2025</v>
      </c>
      <c r="F224" s="74"/>
      <c r="G224" s="89">
        <f>'4.pielikums'!B231</f>
        <v>42271</v>
      </c>
    </row>
    <row r="225" spans="1:7" ht="15.75">
      <c r="A225" s="76"/>
      <c r="B225" s="94" t="s">
        <v>275</v>
      </c>
      <c r="C225" s="93">
        <f t="shared" si="11"/>
        <v>6790</v>
      </c>
      <c r="D225" s="74"/>
      <c r="E225" s="74"/>
      <c r="F225" s="74"/>
      <c r="G225" s="89">
        <f>'4.pielikums'!B232</f>
        <v>6790</v>
      </c>
    </row>
    <row r="226" spans="1:7" ht="31.5">
      <c r="A226" s="76"/>
      <c r="B226" s="94" t="s">
        <v>296</v>
      </c>
      <c r="C226" s="74">
        <f>G226-D226</f>
        <v>34209</v>
      </c>
      <c r="D226" s="74">
        <f>31620+3400</f>
        <v>35020</v>
      </c>
      <c r="E226" s="74"/>
      <c r="F226" s="74"/>
      <c r="G226" s="89">
        <f>'4.pielikums'!B215</f>
        <v>69229</v>
      </c>
    </row>
    <row r="227" spans="1:7" ht="15.75">
      <c r="A227" s="76" t="s">
        <v>295</v>
      </c>
      <c r="B227" s="95" t="s">
        <v>91</v>
      </c>
      <c r="C227" s="75">
        <f>SUM(C228:C241)</f>
        <v>620587</v>
      </c>
      <c r="D227" s="75">
        <f>SUM(D228:D239)</f>
        <v>0</v>
      </c>
      <c r="E227" s="75">
        <f>SUM(E228:E241)</f>
        <v>894852</v>
      </c>
      <c r="F227" s="75">
        <f>SUM(F228:F239)</f>
        <v>1000000</v>
      </c>
      <c r="G227" s="89">
        <f>SUM(G228:G241)</f>
        <v>2515439</v>
      </c>
    </row>
    <row r="228" spans="1:7" ht="15.75">
      <c r="A228" s="76"/>
      <c r="B228" s="94" t="s">
        <v>297</v>
      </c>
      <c r="C228" s="93">
        <f t="shared" si="12" ref="C228:C233">=G228-D228-E228-F228</f>
        <v>65159</v>
      </c>
      <c r="D228" s="75"/>
      <c r="E228" s="75"/>
      <c r="F228" s="75"/>
      <c r="G228" s="89">
        <f>'4.pielikums'!B245</f>
        <v>65159</v>
      </c>
    </row>
    <row r="229" spans="1:7" ht="15.75">
      <c r="A229" s="76"/>
      <c r="B229" s="94" t="s">
        <v>298</v>
      </c>
      <c r="C229" s="93">
        <f t="shared" si="12"/>
        <v>50147</v>
      </c>
      <c r="D229" s="75"/>
      <c r="E229" s="75"/>
      <c r="F229" s="75"/>
      <c r="G229" s="89">
        <f>'4.pielikums'!B246</f>
        <v>50147</v>
      </c>
    </row>
    <row r="230" spans="1:7" ht="31.5">
      <c r="A230" s="76"/>
      <c r="B230" s="99" t="s">
        <v>45</v>
      </c>
      <c r="C230" s="93">
        <f t="shared" si="12"/>
        <v>85547</v>
      </c>
      <c r="D230" s="108"/>
      <c r="E230" s="108"/>
      <c r="F230" s="108"/>
      <c r="G230" s="89">
        <f>'4.pielikums'!B247</f>
        <v>85547</v>
      </c>
    </row>
    <row r="231" spans="1:7" ht="67.5" customHeight="1">
      <c r="A231" s="76"/>
      <c r="B231" s="100" t="s">
        <v>382</v>
      </c>
      <c r="C231" s="93">
        <f t="shared" si="12"/>
        <v>10000</v>
      </c>
      <c r="D231" s="74"/>
      <c r="E231" s="74"/>
      <c r="F231" s="74"/>
      <c r="G231" s="89">
        <f>'4.pielikums'!B243</f>
        <v>10000</v>
      </c>
    </row>
    <row r="232" spans="1:7" ht="27" customHeight="1">
      <c r="A232" s="90"/>
      <c r="B232" s="99" t="s">
        <v>337</v>
      </c>
      <c r="C232" s="93">
        <f t="shared" si="12"/>
        <v>19200</v>
      </c>
      <c r="D232" s="75"/>
      <c r="E232" s="75"/>
      <c r="F232" s="75"/>
      <c r="G232" s="89">
        <f>'4.pielikums'!B244</f>
        <v>19200</v>
      </c>
    </row>
    <row r="233" spans="1:7" ht="37.5" customHeight="1">
      <c r="A233" s="90"/>
      <c r="B233" s="99" t="s">
        <v>284</v>
      </c>
      <c r="C233" s="93">
        <f t="shared" si="12"/>
        <v>285511</v>
      </c>
      <c r="D233" s="75"/>
      <c r="E233" s="75"/>
      <c r="F233" s="75"/>
      <c r="G233" s="89">
        <f>'4.pielikums'!B371</f>
        <v>285511</v>
      </c>
    </row>
    <row r="234" spans="1:7" ht="37.5" customHeight="1">
      <c r="A234" s="90"/>
      <c r="B234" s="99" t="s">
        <v>411</v>
      </c>
      <c r="C234" s="93"/>
      <c r="D234" s="75"/>
      <c r="E234" s="75"/>
      <c r="F234" s="93">
        <f>840000+160000</f>
        <v>1000000</v>
      </c>
      <c r="G234" s="89">
        <f>'4.pielikums'!B372</f>
        <v>1000000</v>
      </c>
    </row>
    <row r="235" spans="1:7" ht="37.5" customHeight="1">
      <c r="A235" s="90"/>
      <c r="B235" s="99" t="s">
        <v>405</v>
      </c>
      <c r="C235" s="93">
        <f t="shared" si="13" ref="C235">=G235-D235-E235-F235</f>
        <v>0</v>
      </c>
      <c r="D235" s="75"/>
      <c r="E235" s="93">
        <v>207000</v>
      </c>
      <c r="F235" s="75"/>
      <c r="G235" s="89">
        <f>'4.pielikums'!B397</f>
        <v>207000</v>
      </c>
    </row>
    <row r="236" spans="1:7" ht="49.5" customHeight="1">
      <c r="A236" s="90"/>
      <c r="B236" s="99" t="s">
        <v>407</v>
      </c>
      <c r="C236" s="93">
        <f t="shared" si="14" ref="C236:C237">=G236-D236-E236-F236</f>
        <v>93746</v>
      </c>
      <c r="D236" s="75"/>
      <c r="E236" s="93">
        <v>588302</v>
      </c>
      <c r="F236" s="75"/>
      <c r="G236" s="89">
        <f>'4.pielikums'!B399</f>
        <v>682048</v>
      </c>
    </row>
    <row r="237" spans="1:7" ht="37.5" customHeight="1">
      <c r="A237" s="90"/>
      <c r="B237" s="99" t="s">
        <v>380</v>
      </c>
      <c r="C237" s="93">
        <f t="shared" si="14"/>
        <v>2195</v>
      </c>
      <c r="D237" s="75"/>
      <c r="E237" s="93">
        <v>4000</v>
      </c>
      <c r="F237" s="75"/>
      <c r="G237" s="89">
        <f>'4.pielikums'!B376</f>
        <v>6195</v>
      </c>
    </row>
    <row r="238" spans="1:7" ht="51" customHeight="1">
      <c r="A238" s="90"/>
      <c r="B238" s="99" t="s">
        <v>356</v>
      </c>
      <c r="C238" s="93">
        <f>G238-D238-E238-F238</f>
        <v>2500</v>
      </c>
      <c r="D238" s="75"/>
      <c r="E238" s="93">
        <v>85000</v>
      </c>
      <c r="F238" s="75"/>
      <c r="G238" s="89">
        <f>'4.pielikums'!B380</f>
        <v>87500</v>
      </c>
    </row>
    <row r="239" spans="1:7" ht="63">
      <c r="A239" s="90"/>
      <c r="B239" s="99" t="s">
        <v>282</v>
      </c>
      <c r="C239" s="93">
        <f>G239-D239-E239-F239</f>
        <v>4782</v>
      </c>
      <c r="D239" s="75"/>
      <c r="E239" s="93"/>
      <c r="F239" s="75"/>
      <c r="G239" s="89">
        <f>'4.pielikums'!B369</f>
        <v>4782</v>
      </c>
    </row>
    <row r="240" spans="1:7" ht="38.25" customHeight="1">
      <c r="A240" s="90"/>
      <c r="B240" s="99" t="s">
        <v>408</v>
      </c>
      <c r="C240" s="93">
        <f>G240-D240-E240-F240</f>
        <v>1800</v>
      </c>
      <c r="D240" s="75"/>
      <c r="E240" s="93">
        <v>7650</v>
      </c>
      <c r="F240" s="75"/>
      <c r="G240" s="89">
        <f>'4.pielikums'!B395</f>
        <v>9450</v>
      </c>
    </row>
    <row r="241" spans="1:7" ht="38.25" customHeight="1">
      <c r="A241" s="90"/>
      <c r="B241" s="99" t="s">
        <v>412</v>
      </c>
      <c r="C241" s="93">
        <f>G241-D241-E241-F241</f>
        <v>0</v>
      </c>
      <c r="D241" s="75"/>
      <c r="E241" s="93">
        <v>2900</v>
      </c>
      <c r="F241" s="75"/>
      <c r="G241" s="89">
        <f>'4.pielikums'!B396</f>
        <v>2900</v>
      </c>
    </row>
    <row r="242" spans="1:7" ht="15.75">
      <c r="A242" s="90" t="s">
        <v>92</v>
      </c>
      <c r="B242" s="91" t="s">
        <v>93</v>
      </c>
      <c r="C242" s="75">
        <f>C243+C251+C260+C270+C281+C283</f>
        <v>7734805</v>
      </c>
      <c r="D242" s="75">
        <f>D243+D251+D260+D270+D281+D283</f>
        <v>344923</v>
      </c>
      <c r="E242" s="75">
        <f>E243+E251+E260+E270+E281+E283</f>
        <v>5715987</v>
      </c>
      <c r="F242" s="75">
        <f>F243+F251+F260+F270+F281+F283</f>
        <v>0</v>
      </c>
      <c r="G242" s="89">
        <f>G243+G251+G260+G270+G281+G283</f>
        <v>13795715</v>
      </c>
    </row>
    <row r="243" spans="1:7" ht="15.75">
      <c r="A243" s="90"/>
      <c r="B243" s="91" t="s">
        <v>94</v>
      </c>
      <c r="C243" s="75">
        <f>SUM(C244:C249)</f>
        <v>1510216</v>
      </c>
      <c r="D243" s="75">
        <f t="shared" si="15" ref="D243:F243">=SUM(D244:D249)</f>
        <v>115871</v>
      </c>
      <c r="E243" s="75">
        <f>SUM(E244:E249)</f>
        <v>331974</v>
      </c>
      <c r="F243" s="75">
        <f t="shared" si="15"/>
        <v>0</v>
      </c>
      <c r="G243" s="89">
        <f>SUM(G244:G249)</f>
        <v>1958061</v>
      </c>
    </row>
    <row r="244" spans="1:7" ht="15.75">
      <c r="A244" s="76"/>
      <c r="B244" s="92" t="s">
        <v>46</v>
      </c>
      <c r="C244" s="93">
        <f>G244-D244-E244-F244</f>
        <v>509891</v>
      </c>
      <c r="D244" s="74">
        <v>51800</v>
      </c>
      <c r="E244" s="74">
        <f>83307+6919+1031+67288+36+3662+6030</f>
        <v>168273</v>
      </c>
      <c r="F244" s="74"/>
      <c r="G244" s="89">
        <f>'4.pielikums'!B248</f>
        <v>729964</v>
      </c>
    </row>
    <row r="245" spans="1:7" ht="15.75">
      <c r="A245" s="76"/>
      <c r="B245" s="92" t="s">
        <v>47</v>
      </c>
      <c r="C245" s="93">
        <f t="shared" si="16" ref="C245:C249">=G245-D245-E245-F245</f>
        <v>349060</v>
      </c>
      <c r="D245" s="74">
        <v>32200</v>
      </c>
      <c r="E245" s="74">
        <f>34927+4320+233+21376+6+233</f>
        <v>61095</v>
      </c>
      <c r="F245" s="74"/>
      <c r="G245" s="89">
        <f>'4.pielikums'!B250</f>
        <v>442355</v>
      </c>
    </row>
    <row r="246" spans="1:7" ht="15.75">
      <c r="A246" s="76"/>
      <c r="B246" s="92" t="s">
        <v>48</v>
      </c>
      <c r="C246" s="93">
        <f t="shared" si="16"/>
        <v>71712</v>
      </c>
      <c r="D246" s="74">
        <f>4000+800</f>
        <v>4800</v>
      </c>
      <c r="E246" s="74">
        <f>7247+889+4008</f>
        <v>12144</v>
      </c>
      <c r="F246" s="74"/>
      <c r="G246" s="89">
        <f>'4.pielikums'!B252</f>
        <v>88656</v>
      </c>
    </row>
    <row r="247" spans="1:7" ht="15.75">
      <c r="A247" s="76"/>
      <c r="B247" s="92" t="s">
        <v>49</v>
      </c>
      <c r="C247" s="93">
        <f t="shared" si="16"/>
        <v>230114</v>
      </c>
      <c r="D247" s="74">
        <f>12551+1700</f>
        <v>14251</v>
      </c>
      <c r="E247" s="74">
        <f>24458+2416+12468</f>
        <v>39342</v>
      </c>
      <c r="F247" s="74"/>
      <c r="G247" s="89">
        <f>'4.pielikums'!B253</f>
        <v>283707</v>
      </c>
    </row>
    <row r="248" spans="1:7" ht="31.5">
      <c r="A248" s="76"/>
      <c r="B248" s="100" t="s">
        <v>261</v>
      </c>
      <c r="C248" s="93">
        <f t="shared" si="16"/>
        <v>181321</v>
      </c>
      <c r="D248" s="74">
        <f>5030+1380</f>
        <v>6410</v>
      </c>
      <c r="E248" s="74">
        <f>21640+2367+9352</f>
        <v>33359</v>
      </c>
      <c r="F248" s="74"/>
      <c r="G248" s="89">
        <f>'4.pielikums'!B256</f>
        <v>221090</v>
      </c>
    </row>
    <row r="249" spans="1:7" ht="31.5">
      <c r="A249" s="76"/>
      <c r="B249" s="100" t="s">
        <v>262</v>
      </c>
      <c r="C249" s="93">
        <f t="shared" si="16"/>
        <v>168118</v>
      </c>
      <c r="D249" s="74">
        <v>6410</v>
      </c>
      <c r="E249" s="74">
        <f>11650+1744+4008+359</f>
        <v>17761</v>
      </c>
      <c r="F249" s="74"/>
      <c r="G249" s="89">
        <f>'4.pielikums'!B258</f>
        <v>192289</v>
      </c>
    </row>
    <row r="250" spans="1:7" ht="31.5">
      <c r="A250" s="90"/>
      <c r="B250" s="109" t="s">
        <v>95</v>
      </c>
      <c r="C250" s="74"/>
      <c r="D250" s="74"/>
      <c r="E250" s="74"/>
      <c r="F250" s="74"/>
      <c r="G250" s="90"/>
    </row>
    <row r="251" spans="1:7" ht="15.75">
      <c r="A251" s="90"/>
      <c r="B251" s="91" t="s">
        <v>96</v>
      </c>
      <c r="C251" s="75">
        <f>SUM(C252:C259)</f>
        <v>1434432</v>
      </c>
      <c r="D251" s="75">
        <f t="shared" si="17" ref="D251:F251">=SUM(D252:D259)</f>
        <v>26582</v>
      </c>
      <c r="E251" s="75">
        <f t="shared" si="17"/>
        <v>1611741</v>
      </c>
      <c r="F251" s="75">
        <f t="shared" si="17"/>
        <v>0</v>
      </c>
      <c r="G251" s="89">
        <f>SUM(G252:G259)</f>
        <v>3072755</v>
      </c>
    </row>
    <row r="252" spans="1:7" ht="15.75">
      <c r="A252" s="76"/>
      <c r="B252" s="92" t="s">
        <v>149</v>
      </c>
      <c r="C252" s="93">
        <f>G252-E252-D252</f>
        <v>316934</v>
      </c>
      <c r="D252" s="74">
        <v>1332</v>
      </c>
      <c r="E252" s="74">
        <f>455328+9444+603+245244+5636+7619+7688+12+1005</f>
        <v>732579</v>
      </c>
      <c r="F252" s="74"/>
      <c r="G252" s="89">
        <f>'4.pielikums'!B260</f>
        <v>1050845</v>
      </c>
    </row>
    <row r="253" spans="1:7" ht="15.75">
      <c r="A253" s="76"/>
      <c r="B253" s="92" t="s">
        <v>50</v>
      </c>
      <c r="C253" s="93">
        <f t="shared" si="18" ref="C253:C268">=G253-E253-D253</f>
        <v>174495</v>
      </c>
      <c r="D253" s="74">
        <v>1200</v>
      </c>
      <c r="E253" s="74">
        <f>151226+3488+70888+1632+626+1106</f>
        <v>228966</v>
      </c>
      <c r="F253" s="74"/>
      <c r="G253" s="89">
        <f>'4.pielikums'!B262</f>
        <v>404661</v>
      </c>
    </row>
    <row r="254" spans="1:7" ht="15.75">
      <c r="A254" s="76"/>
      <c r="B254" s="92" t="s">
        <v>110</v>
      </c>
      <c r="C254" s="93">
        <f t="shared" si="18"/>
        <v>76086</v>
      </c>
      <c r="D254" s="74">
        <v>650</v>
      </c>
      <c r="E254" s="74">
        <v>1443</v>
      </c>
      <c r="F254" s="74"/>
      <c r="G254" s="89">
        <f>'4.pielikums'!B263</f>
        <v>78179</v>
      </c>
    </row>
    <row r="255" spans="1:7" ht="15.75">
      <c r="A255" s="76"/>
      <c r="B255" s="92" t="s">
        <v>271</v>
      </c>
      <c r="C255" s="93">
        <f t="shared" si="18"/>
        <v>160572</v>
      </c>
      <c r="D255" s="74">
        <v>5350</v>
      </c>
      <c r="E255" s="74">
        <f>199713+5366+88952+1188+4344+1156+989</f>
        <v>301708</v>
      </c>
      <c r="F255" s="74"/>
      <c r="G255" s="89">
        <f>'4.pielikums'!B283</f>
        <v>467630</v>
      </c>
    </row>
    <row r="256" spans="1:7" ht="15.75">
      <c r="A256" s="76"/>
      <c r="B256" s="100" t="s">
        <v>259</v>
      </c>
      <c r="C256" s="93">
        <f t="shared" si="18"/>
        <v>180932</v>
      </c>
      <c r="D256" s="74">
        <v>2500</v>
      </c>
      <c r="E256" s="74">
        <f>87097+2112+57620+2372+3356+602+1508+24+732</f>
        <v>155423</v>
      </c>
      <c r="F256" s="74"/>
      <c r="G256" s="89">
        <f>'4.pielikums'!B292</f>
        <v>338855</v>
      </c>
    </row>
    <row r="257" spans="1:7" ht="15.75">
      <c r="A257" s="76"/>
      <c r="B257" s="92" t="s">
        <v>257</v>
      </c>
      <c r="C257" s="93">
        <f>G257-E257-D257</f>
        <v>212202</v>
      </c>
      <c r="D257" s="74">
        <v>1230</v>
      </c>
      <c r="E257" s="74">
        <f>57160+2224+169</f>
        <v>59553</v>
      </c>
      <c r="F257" s="74"/>
      <c r="G257" s="89">
        <f>'4.pielikums'!B296</f>
        <v>272985</v>
      </c>
    </row>
    <row r="258" spans="1:7" ht="15.75">
      <c r="A258" s="76"/>
      <c r="B258" s="92" t="s">
        <v>277</v>
      </c>
      <c r="C258" s="93">
        <f t="shared" si="18"/>
        <v>273026</v>
      </c>
      <c r="D258" s="74">
        <f>230+6300+5240</f>
        <v>11770</v>
      </c>
      <c r="E258" s="74">
        <f>84537+2693+35924+2820+5344-120+871</f>
        <v>132069</v>
      </c>
      <c r="F258" s="74"/>
      <c r="G258" s="89">
        <f>'4.pielikums'!B269</f>
        <v>416865</v>
      </c>
    </row>
    <row r="259" spans="1:7" ht="31.5">
      <c r="A259" s="76"/>
      <c r="B259" s="94" t="s">
        <v>335</v>
      </c>
      <c r="C259" s="93">
        <f t="shared" si="18"/>
        <v>40185</v>
      </c>
      <c r="D259" s="74">
        <v>2550</v>
      </c>
      <c r="E259" s="74">
        <v>0</v>
      </c>
      <c r="F259" s="74"/>
      <c r="G259" s="89">
        <f>'4.pielikums'!B271</f>
        <v>42735</v>
      </c>
    </row>
    <row r="260" spans="1:7" ht="15.75">
      <c r="A260" s="90"/>
      <c r="B260" s="91" t="s">
        <v>97</v>
      </c>
      <c r="C260" s="75">
        <f>SUM(C261:C269)</f>
        <v>2614689</v>
      </c>
      <c r="D260" s="75">
        <f>SUM(D261:D269)</f>
        <v>84198</v>
      </c>
      <c r="E260" s="75">
        <f>SUM(E261:E269)</f>
        <v>2661830</v>
      </c>
      <c r="F260" s="75">
        <f>SUM(F261:F269)</f>
        <v>0</v>
      </c>
      <c r="G260" s="89">
        <f>SUM(G261:G269)</f>
        <v>5360717</v>
      </c>
    </row>
    <row r="261" spans="1:7" ht="15.75">
      <c r="A261" s="76"/>
      <c r="B261" s="92" t="s">
        <v>51</v>
      </c>
      <c r="C261" s="93">
        <f t="shared" si="18"/>
        <v>391468</v>
      </c>
      <c r="D261" s="74">
        <f>10875+4038</f>
        <v>14913</v>
      </c>
      <c r="E261" s="74">
        <f>370460+8622+4855+190968+2820+4642</f>
        <v>582367</v>
      </c>
      <c r="F261" s="74"/>
      <c r="G261" s="89">
        <f>'4.pielikums'!B265</f>
        <v>988748</v>
      </c>
    </row>
    <row r="262" spans="1:7" ht="15.75">
      <c r="A262" s="76"/>
      <c r="B262" s="92" t="s">
        <v>269</v>
      </c>
      <c r="C262" s="93">
        <f t="shared" si="18"/>
        <v>271854</v>
      </c>
      <c r="D262" s="74">
        <v>3383</v>
      </c>
      <c r="E262" s="74">
        <f>211346+4517+4230+99264+5044+1253+2672+12+378</f>
        <v>328716</v>
      </c>
      <c r="F262" s="74"/>
      <c r="G262" s="89">
        <f>'4.pielikums'!B297</f>
        <v>603953</v>
      </c>
    </row>
    <row r="263" spans="1:7" ht="31.5">
      <c r="A263" s="76"/>
      <c r="B263" s="94" t="s">
        <v>114</v>
      </c>
      <c r="C263" s="93">
        <f t="shared" si="18"/>
        <v>479168</v>
      </c>
      <c r="D263" s="74">
        <v>21425</v>
      </c>
      <c r="E263" s="74">
        <f>296210+6661+101418+69320+4300+2769+18+633+336</f>
        <v>481665</v>
      </c>
      <c r="F263" s="74"/>
      <c r="G263" s="89">
        <f>'4.pielikums'!B267</f>
        <v>982258</v>
      </c>
    </row>
    <row r="264" spans="1:7" ht="15.75">
      <c r="A264" s="76"/>
      <c r="B264" s="92" t="s">
        <v>394</v>
      </c>
      <c r="C264" s="93">
        <f t="shared" si="18"/>
        <v>289530</v>
      </c>
      <c r="D264" s="74">
        <f>2400+1500+4826+597</f>
        <v>9323</v>
      </c>
      <c r="E264" s="74">
        <f>223835+8936+1362+131288+2820+9820+1880+1893+24+2768</f>
        <v>384626</v>
      </c>
      <c r="F264" s="74"/>
      <c r="G264" s="89">
        <f>'4.pielikums'!B273</f>
        <v>683479</v>
      </c>
    </row>
    <row r="265" spans="1:7" ht="31.5">
      <c r="A265" s="76"/>
      <c r="B265" s="94" t="s">
        <v>395</v>
      </c>
      <c r="C265" s="93">
        <f t="shared" si="18"/>
        <v>62262</v>
      </c>
      <c r="D265" s="74">
        <f>2819+500</f>
        <v>3319</v>
      </c>
      <c r="E265" s="74"/>
      <c r="F265" s="74"/>
      <c r="G265" s="89">
        <f>'4.pielikums'!B275</f>
        <v>65581</v>
      </c>
    </row>
    <row r="266" spans="1:7" ht="31.5">
      <c r="A266" s="76"/>
      <c r="B266" s="94" t="s">
        <v>396</v>
      </c>
      <c r="C266" s="93">
        <f t="shared" si="18"/>
        <v>109754</v>
      </c>
      <c r="D266" s="74">
        <f>8500+1275</f>
        <v>9775</v>
      </c>
      <c r="E266" s="74">
        <v>1362</v>
      </c>
      <c r="F266" s="74"/>
      <c r="G266" s="89">
        <f>'4.pielikums'!B254</f>
        <v>120891</v>
      </c>
    </row>
    <row r="267" spans="1:7" ht="15.75">
      <c r="A267" s="76"/>
      <c r="B267" s="94" t="s">
        <v>258</v>
      </c>
      <c r="C267" s="93">
        <f t="shared" si="18"/>
        <v>298541</v>
      </c>
      <c r="D267" s="74">
        <f>2800+4950+1552+2201</f>
        <v>11503</v>
      </c>
      <c r="E267" s="74">
        <f>173360+4639+74468+3708+13180+1673+2147+318</f>
        <v>273493</v>
      </c>
      <c r="F267" s="74"/>
      <c r="G267" s="89">
        <f>'4.pielikums'!B294</f>
        <v>583537</v>
      </c>
    </row>
    <row r="268" spans="1:7" ht="15.75">
      <c r="A268" s="76"/>
      <c r="B268" s="94" t="s">
        <v>283</v>
      </c>
      <c r="C268" s="93">
        <f t="shared" si="18"/>
        <v>390507</v>
      </c>
      <c r="D268" s="74">
        <v>5280</v>
      </c>
      <c r="E268" s="74">
        <f>250177+6549+251+103396+3116+12024+1735+2736+251</f>
        <v>380235</v>
      </c>
      <c r="F268" s="74"/>
      <c r="G268" s="89">
        <f>'4.pielikums'!B285</f>
        <v>776022</v>
      </c>
    </row>
    <row r="269" spans="1:7" ht="15.75">
      <c r="A269" s="76"/>
      <c r="B269" s="94" t="s">
        <v>268</v>
      </c>
      <c r="C269" s="93">
        <f>G269-E269-D269</f>
        <v>321605</v>
      </c>
      <c r="D269" s="74">
        <f>2672+2605</f>
        <v>5277</v>
      </c>
      <c r="E269" s="74">
        <f>141977+4215+69802+2820+6680+2050+1822</f>
        <v>229366</v>
      </c>
      <c r="F269" s="74"/>
      <c r="G269" s="89">
        <f>'4.pielikums'!B290</f>
        <v>556248</v>
      </c>
    </row>
    <row r="270" spans="1:7" ht="31.5">
      <c r="A270" s="110"/>
      <c r="B270" s="109" t="s">
        <v>98</v>
      </c>
      <c r="C270" s="75">
        <f>SUM(C271:C280)</f>
        <v>909569</v>
      </c>
      <c r="D270" s="75">
        <f>SUM(D271:D280)</f>
        <v>109166</v>
      </c>
      <c r="E270" s="75">
        <f>SUM(E271:E280)</f>
        <v>1060527</v>
      </c>
      <c r="F270" s="75">
        <f>SUM(F271:F280)</f>
        <v>0</v>
      </c>
      <c r="G270" s="89">
        <f>SUM(G271:G280)</f>
        <v>2079262</v>
      </c>
    </row>
    <row r="271" spans="1:7" ht="15.75">
      <c r="A271" s="76"/>
      <c r="B271" s="92" t="s">
        <v>52</v>
      </c>
      <c r="C271" s="93">
        <f>G271-D271-E271</f>
        <v>136711</v>
      </c>
      <c r="D271" s="74">
        <f>11745+420</f>
        <v>12165</v>
      </c>
      <c r="E271" s="74">
        <f>336982+3058+120514+2076</f>
        <v>462630</v>
      </c>
      <c r="F271" s="74"/>
      <c r="G271" s="89">
        <f>'4.pielikums'!B276</f>
        <v>611506</v>
      </c>
    </row>
    <row r="272" spans="1:7" ht="15.75">
      <c r="A272" s="76"/>
      <c r="B272" s="92" t="s">
        <v>53</v>
      </c>
      <c r="C272" s="93">
        <f t="shared" si="19" ref="C272:C278">=G272-D272-E272</f>
        <v>113308</v>
      </c>
      <c r="D272" s="74">
        <v>8424</v>
      </c>
      <c r="E272" s="74">
        <f>42617+804+14811+892</f>
        <v>59124</v>
      </c>
      <c r="F272" s="74"/>
      <c r="G272" s="89">
        <f>'4.pielikums'!B277</f>
        <v>180856</v>
      </c>
    </row>
    <row r="273" spans="1:7" ht="15.75">
      <c r="A273" s="76"/>
      <c r="B273" s="92" t="s">
        <v>54</v>
      </c>
      <c r="C273" s="93">
        <f t="shared" si="19"/>
        <v>195389</v>
      </c>
      <c r="D273" s="74">
        <v>3502</v>
      </c>
      <c r="E273" s="74">
        <f>156991+1524+32418+7134+1432</f>
        <v>199499</v>
      </c>
      <c r="F273" s="74"/>
      <c r="G273" s="89">
        <f>'4.pielikums'!B278</f>
        <v>398390</v>
      </c>
    </row>
    <row r="274" spans="1:7" ht="15.75">
      <c r="A274" s="76"/>
      <c r="B274" s="92" t="s">
        <v>99</v>
      </c>
      <c r="C274" s="93">
        <f t="shared" si="19"/>
        <v>110288</v>
      </c>
      <c r="D274" s="74">
        <f>51562+4839+23826</f>
        <v>80227</v>
      </c>
      <c r="E274" s="74"/>
      <c r="F274" s="74"/>
      <c r="G274" s="89">
        <f>'4.pielikums'!B280</f>
        <v>190515</v>
      </c>
    </row>
    <row r="275" spans="1:7" ht="31.5">
      <c r="A275" s="76"/>
      <c r="B275" s="100" t="s">
        <v>256</v>
      </c>
      <c r="C275" s="93">
        <f t="shared" si="19"/>
        <v>57126</v>
      </c>
      <c r="D275" s="74"/>
      <c r="E275" s="74">
        <f>55724+696-24444</f>
        <v>31976</v>
      </c>
      <c r="F275" s="74"/>
      <c r="G275" s="89">
        <f>'4.pielikums'!B299</f>
        <v>89102</v>
      </c>
    </row>
    <row r="276" spans="1:7" ht="15.75">
      <c r="A276" s="76"/>
      <c r="B276" s="100" t="s">
        <v>255</v>
      </c>
      <c r="C276" s="93">
        <f t="shared" si="19"/>
        <v>15188</v>
      </c>
      <c r="D276" s="74">
        <v>396</v>
      </c>
      <c r="E276" s="74">
        <f>112237+1086+40730+592</f>
        <v>154645</v>
      </c>
      <c r="F276" s="74"/>
      <c r="G276" s="89">
        <f>'4.pielikums'!B300</f>
        <v>170229</v>
      </c>
    </row>
    <row r="277" spans="1:7" ht="29.25" customHeight="1">
      <c r="A277" s="76"/>
      <c r="B277" s="99" t="s">
        <v>267</v>
      </c>
      <c r="C277" s="93">
        <f t="shared" si="19"/>
        <v>93239</v>
      </c>
      <c r="D277" s="74">
        <f>1000+100</f>
        <v>1100</v>
      </c>
      <c r="E277" s="74">
        <f>61000+682+21151+592</f>
        <v>83425</v>
      </c>
      <c r="F277" s="74"/>
      <c r="G277" s="89">
        <f>'4.pielikums'!B288</f>
        <v>177764</v>
      </c>
    </row>
    <row r="278" spans="1:7" ht="31.5">
      <c r="A278" s="76"/>
      <c r="B278" s="94" t="s">
        <v>397</v>
      </c>
      <c r="C278" s="93">
        <f t="shared" si="19"/>
        <v>157889</v>
      </c>
      <c r="D278" s="74">
        <v>2352</v>
      </c>
      <c r="E278" s="74">
        <f>24680+457+15648</f>
        <v>40785</v>
      </c>
      <c r="F278" s="74"/>
      <c r="G278" s="89">
        <f>'4.pielikums'!B281</f>
        <v>201026</v>
      </c>
    </row>
    <row r="279" spans="1:7" ht="31.5">
      <c r="A279" s="76"/>
      <c r="B279" s="101" t="s">
        <v>354</v>
      </c>
      <c r="C279" s="74"/>
      <c r="D279" s="74"/>
      <c r="E279" s="74">
        <v>10000</v>
      </c>
      <c r="F279" s="74"/>
      <c r="G279" s="89">
        <f>'4.pielikums'!B307</f>
        <v>10000</v>
      </c>
    </row>
    <row r="280" spans="1:7" ht="15.75">
      <c r="A280" s="76"/>
      <c r="B280" s="104" t="s">
        <v>264</v>
      </c>
      <c r="C280" s="93">
        <f>G280-E280-D280</f>
        <v>30431</v>
      </c>
      <c r="D280" s="74">
        <v>1000</v>
      </c>
      <c r="E280" s="74">
        <f>25946+471-7974</f>
        <v>18443</v>
      </c>
      <c r="F280" s="74"/>
      <c r="G280" s="89">
        <f>'4.pielikums'!B287</f>
        <v>49874</v>
      </c>
    </row>
    <row r="281" spans="1:7" ht="15.75">
      <c r="A281" s="90"/>
      <c r="B281" s="109" t="s">
        <v>100</v>
      </c>
      <c r="C281" s="75">
        <f>C282</f>
        <v>279791</v>
      </c>
      <c r="D281" s="75">
        <f>D282</f>
        <v>0</v>
      </c>
      <c r="E281" s="75">
        <f>E282</f>
        <v>0</v>
      </c>
      <c r="F281" s="75">
        <f>F282</f>
        <v>0</v>
      </c>
      <c r="G281" s="89">
        <f>G282</f>
        <v>279791</v>
      </c>
    </row>
    <row r="282" spans="1:7" ht="18.75" customHeight="1">
      <c r="A282" s="105"/>
      <c r="B282" s="99" t="s">
        <v>265</v>
      </c>
      <c r="C282" s="93">
        <f>G282-D282-E282</f>
        <v>279791</v>
      </c>
      <c r="D282" s="74"/>
      <c r="E282" s="74"/>
      <c r="F282" s="74"/>
      <c r="G282" s="89">
        <f>'4.pielikums'!B301</f>
        <v>279791</v>
      </c>
    </row>
    <row r="283" spans="1:7" ht="31.5">
      <c r="A283" s="103"/>
      <c r="B283" s="109" t="s">
        <v>101</v>
      </c>
      <c r="C283" s="75">
        <f>SUM(C284:C321)</f>
        <v>986108</v>
      </c>
      <c r="D283" s="75">
        <f t="shared" si="20" ref="D283:F283">=SUM(D284:D321)</f>
        <v>9106</v>
      </c>
      <c r="E283" s="75">
        <f t="shared" si="20"/>
        <v>49915</v>
      </c>
      <c r="F283" s="75">
        <f t="shared" si="20"/>
        <v>0</v>
      </c>
      <c r="G283" s="89">
        <f>SUM(G284:G321)</f>
        <v>1045129</v>
      </c>
    </row>
    <row r="284" spans="1:7" ht="15.75">
      <c r="A284" s="74"/>
      <c r="B284" s="99" t="s">
        <v>290</v>
      </c>
      <c r="C284" s="93">
        <f t="shared" si="21" ref="C284:C319">=G284-D284-E284-F284</f>
        <v>43824</v>
      </c>
      <c r="D284" s="74">
        <v>8116</v>
      </c>
      <c r="E284" s="74"/>
      <c r="F284" s="74"/>
      <c r="G284" s="89">
        <f>'4.pielikums'!B302</f>
        <v>51940</v>
      </c>
    </row>
    <row r="285" spans="1:7" ht="15.75">
      <c r="A285" s="74"/>
      <c r="B285" s="99" t="s">
        <v>130</v>
      </c>
      <c r="C285" s="93">
        <f t="shared" si="21"/>
        <v>655</v>
      </c>
      <c r="D285" s="74"/>
      <c r="E285" s="74">
        <v>17801</v>
      </c>
      <c r="F285" s="74"/>
      <c r="G285" s="89">
        <f>'4.pielikums'!B313</f>
        <v>18456</v>
      </c>
    </row>
    <row r="286" spans="1:7" ht="15.75">
      <c r="A286" s="74"/>
      <c r="B286" s="100" t="s">
        <v>343</v>
      </c>
      <c r="C286" s="93">
        <f t="shared" si="21"/>
        <v>21170</v>
      </c>
      <c r="D286" s="74">
        <v>300</v>
      </c>
      <c r="E286" s="74"/>
      <c r="F286" s="74"/>
      <c r="G286" s="89">
        <f>'4.pielikums'!B314</f>
        <v>21470</v>
      </c>
    </row>
    <row r="287" spans="1:7" ht="31.5">
      <c r="A287" s="74"/>
      <c r="B287" s="100" t="s">
        <v>318</v>
      </c>
      <c r="C287" s="93">
        <f t="shared" si="21"/>
        <v>18574</v>
      </c>
      <c r="D287" s="74"/>
      <c r="E287" s="74"/>
      <c r="F287" s="74"/>
      <c r="G287" s="89">
        <f>'4.pielikums'!B315</f>
        <v>18574</v>
      </c>
    </row>
    <row r="288" spans="1:7" ht="31.5">
      <c r="A288" s="74"/>
      <c r="B288" s="100" t="s">
        <v>320</v>
      </c>
      <c r="C288" s="93">
        <f t="shared" si="21"/>
        <v>22357</v>
      </c>
      <c r="D288" s="74"/>
      <c r="E288" s="74"/>
      <c r="F288" s="74"/>
      <c r="G288" s="89">
        <f>'4.pielikums'!B316</f>
        <v>22357</v>
      </c>
    </row>
    <row r="289" spans="1:7" ht="31.5">
      <c r="A289" s="74"/>
      <c r="B289" s="100" t="s">
        <v>321</v>
      </c>
      <c r="C289" s="93">
        <f t="shared" si="21"/>
        <v>19268</v>
      </c>
      <c r="D289" s="74"/>
      <c r="E289" s="74"/>
      <c r="F289" s="74"/>
      <c r="G289" s="89">
        <f>'4.pielikums'!B318</f>
        <v>19268</v>
      </c>
    </row>
    <row r="290" spans="1:7" ht="35.25" customHeight="1">
      <c r="A290" s="74"/>
      <c r="B290" s="100" t="s">
        <v>322</v>
      </c>
      <c r="C290" s="93">
        <f t="shared" si="21"/>
        <v>18472</v>
      </c>
      <c r="D290" s="74"/>
      <c r="E290" s="74"/>
      <c r="F290" s="74"/>
      <c r="G290" s="89">
        <f>'4.pielikums'!B320</f>
        <v>18472</v>
      </c>
    </row>
    <row r="291" spans="1:7" ht="32.25" customHeight="1">
      <c r="A291" s="74"/>
      <c r="B291" s="100" t="s">
        <v>340</v>
      </c>
      <c r="C291" s="93">
        <f t="shared" si="21"/>
        <v>16052</v>
      </c>
      <c r="D291" s="74"/>
      <c r="E291" s="74"/>
      <c r="F291" s="74"/>
      <c r="G291" s="89">
        <f>'4.pielikums'!B322</f>
        <v>16052</v>
      </c>
    </row>
    <row r="292" spans="1:7" ht="22.5" customHeight="1">
      <c r="A292" s="74"/>
      <c r="B292" s="100" t="s">
        <v>327</v>
      </c>
      <c r="C292" s="93">
        <f t="shared" si="21"/>
        <v>19501</v>
      </c>
      <c r="D292" s="74"/>
      <c r="E292" s="74"/>
      <c r="F292" s="74"/>
      <c r="G292" s="89">
        <f>'4.pielikums'!B321</f>
        <v>19501</v>
      </c>
    </row>
    <row r="293" spans="1:7" ht="15.75">
      <c r="A293" s="74"/>
      <c r="B293" s="100" t="s">
        <v>254</v>
      </c>
      <c r="C293" s="93">
        <f t="shared" si="21"/>
        <v>11139</v>
      </c>
      <c r="D293" s="74">
        <v>200</v>
      </c>
      <c r="E293" s="74"/>
      <c r="F293" s="74"/>
      <c r="G293" s="89">
        <f>'4.pielikums'!B326</f>
        <v>11339</v>
      </c>
    </row>
    <row r="294" spans="1:7" ht="31.5">
      <c r="A294" s="74"/>
      <c r="B294" s="100" t="s">
        <v>253</v>
      </c>
      <c r="C294" s="93">
        <f t="shared" si="21"/>
        <v>26502</v>
      </c>
      <c r="D294" s="74">
        <v>200</v>
      </c>
      <c r="E294" s="74"/>
      <c r="F294" s="74"/>
      <c r="G294" s="89">
        <f>'4.pielikums'!B327</f>
        <v>26702</v>
      </c>
    </row>
    <row r="295" spans="1:7" ht="15.75">
      <c r="A295" s="74"/>
      <c r="B295" s="100" t="s">
        <v>346</v>
      </c>
      <c r="C295" s="93">
        <f t="shared" si="21"/>
        <v>13882</v>
      </c>
      <c r="D295" s="74"/>
      <c r="E295" s="74"/>
      <c r="F295" s="74"/>
      <c r="G295" s="89">
        <f>'4.pielikums'!B323</f>
        <v>13882</v>
      </c>
    </row>
    <row r="296" spans="1:7" ht="15.75">
      <c r="A296" s="74"/>
      <c r="B296" s="100" t="s">
        <v>349</v>
      </c>
      <c r="C296" s="93">
        <f t="shared" si="21"/>
        <v>26991</v>
      </c>
      <c r="D296" s="74"/>
      <c r="E296" s="74"/>
      <c r="F296" s="74"/>
      <c r="G296" s="89">
        <f>'4.pielikums'!B325</f>
        <v>26991</v>
      </c>
    </row>
    <row r="297" spans="1:7" ht="15.75">
      <c r="A297" s="74"/>
      <c r="B297" s="100" t="s">
        <v>252</v>
      </c>
      <c r="C297" s="93">
        <f t="shared" si="21"/>
        <v>14619</v>
      </c>
      <c r="D297" s="74">
        <v>290</v>
      </c>
      <c r="E297" s="74"/>
      <c r="F297" s="74"/>
      <c r="G297" s="89">
        <f>'4.pielikums'!B329</f>
        <v>14909</v>
      </c>
    </row>
    <row r="298" spans="1:7" ht="31.5">
      <c r="A298" s="74"/>
      <c r="B298" s="99" t="s">
        <v>342</v>
      </c>
      <c r="C298" s="93">
        <f t="shared" si="21"/>
        <v>19839</v>
      </c>
      <c r="D298" s="74"/>
      <c r="E298" s="74"/>
      <c r="F298" s="74"/>
      <c r="G298" s="89">
        <f>'4.pielikums'!B328</f>
        <v>19839</v>
      </c>
    </row>
    <row r="299" spans="1:7" ht="51.75" customHeight="1">
      <c r="A299" s="105"/>
      <c r="B299" s="99" t="s">
        <v>150</v>
      </c>
      <c r="C299" s="93">
        <f t="shared" si="21"/>
        <v>17763</v>
      </c>
      <c r="D299" s="74"/>
      <c r="E299" s="74"/>
      <c r="F299" s="74"/>
      <c r="G299" s="89">
        <f>'4.pielikums'!B361</f>
        <v>17763</v>
      </c>
    </row>
    <row r="300" spans="1:7" ht="38.25" customHeight="1">
      <c r="A300" s="105"/>
      <c r="B300" s="102" t="s">
        <v>129</v>
      </c>
      <c r="C300" s="93">
        <f t="shared" si="21"/>
        <v>26838</v>
      </c>
      <c r="D300" s="74"/>
      <c r="E300" s="74"/>
      <c r="F300" s="74"/>
      <c r="G300" s="89">
        <f>'4.pielikums'!B364</f>
        <v>26838</v>
      </c>
    </row>
    <row r="301" spans="1:7" ht="78.75">
      <c r="A301" s="105"/>
      <c r="B301" s="102" t="s">
        <v>388</v>
      </c>
      <c r="C301" s="93">
        <f t="shared" si="21"/>
        <v>11886</v>
      </c>
      <c r="D301" s="74"/>
      <c r="E301" s="74">
        <v>0</v>
      </c>
      <c r="F301" s="74"/>
      <c r="G301" s="89">
        <f>'4.pielikums'!B360</f>
        <v>11886</v>
      </c>
    </row>
    <row r="302" spans="1:7" ht="54.75" customHeight="1">
      <c r="A302" s="105"/>
      <c r="B302" s="94" t="s">
        <v>153</v>
      </c>
      <c r="C302" s="93">
        <f t="shared" si="21"/>
        <v>13360</v>
      </c>
      <c r="D302" s="74"/>
      <c r="E302" s="74"/>
      <c r="F302" s="74">
        <v>0</v>
      </c>
      <c r="G302" s="89">
        <f>'4.pielikums'!B362</f>
        <v>13360</v>
      </c>
    </row>
    <row r="303" spans="1:7" ht="47.25">
      <c r="A303" s="105"/>
      <c r="B303" s="99" t="s">
        <v>152</v>
      </c>
      <c r="C303" s="93">
        <f t="shared" si="21"/>
        <v>20827</v>
      </c>
      <c r="D303" s="74"/>
      <c r="E303" s="74">
        <v>0</v>
      </c>
      <c r="F303" s="93">
        <v>0</v>
      </c>
      <c r="G303" s="89">
        <f>'4.pielikums'!B366</f>
        <v>20827</v>
      </c>
    </row>
    <row r="304" spans="1:7" ht="56.25" customHeight="1">
      <c r="A304" s="105"/>
      <c r="B304" s="99" t="s">
        <v>316</v>
      </c>
      <c r="C304" s="93">
        <f t="shared" si="21"/>
        <v>10609</v>
      </c>
      <c r="D304" s="74"/>
      <c r="E304" s="74"/>
      <c r="F304" s="93"/>
      <c r="G304" s="89">
        <f>'4.pielikums'!B367</f>
        <v>10609</v>
      </c>
    </row>
    <row r="305" spans="1:7" ht="31.5">
      <c r="A305" s="105"/>
      <c r="B305" s="104" t="s">
        <v>369</v>
      </c>
      <c r="C305" s="93">
        <f t="shared" si="21"/>
        <v>14991</v>
      </c>
      <c r="D305" s="74"/>
      <c r="E305" s="74"/>
      <c r="F305" s="93"/>
      <c r="G305" s="89">
        <f>'4.pielikums'!B332</f>
        <v>14991</v>
      </c>
    </row>
    <row r="306" spans="1:7" ht="47.25">
      <c r="A306" s="105"/>
      <c r="B306" s="107" t="s">
        <v>368</v>
      </c>
      <c r="C306" s="93">
        <f t="shared" si="21"/>
        <v>1051</v>
      </c>
      <c r="D306" s="74"/>
      <c r="E306" s="74">
        <v>4200</v>
      </c>
      <c r="F306" s="93"/>
      <c r="G306" s="89">
        <f>'4.pielikums'!B312</f>
        <v>5251</v>
      </c>
    </row>
    <row r="307" spans="1:7" ht="63">
      <c r="A307" s="105"/>
      <c r="B307" s="128" t="s">
        <v>416</v>
      </c>
      <c r="C307" s="93">
        <f t="shared" si="21"/>
        <v>6180</v>
      </c>
      <c r="D307" s="74"/>
      <c r="E307" s="74"/>
      <c r="F307" s="93"/>
      <c r="G307" s="89">
        <f>'4.pielikums'!B363</f>
        <v>6180</v>
      </c>
    </row>
    <row r="308" spans="1:7" ht="15.75">
      <c r="A308" s="105"/>
      <c r="B308" s="129" t="s">
        <v>417</v>
      </c>
      <c r="C308" s="93">
        <f t="shared" si="21"/>
        <v>28599</v>
      </c>
      <c r="D308" s="74"/>
      <c r="E308" s="74">
        <v>14372</v>
      </c>
      <c r="F308" s="93"/>
      <c r="G308" s="89">
        <f>'4.pielikums'!B400</f>
        <v>42971</v>
      </c>
    </row>
    <row r="309" spans="1:7" ht="45" customHeight="1">
      <c r="A309" s="105"/>
      <c r="B309" s="99" t="s">
        <v>125</v>
      </c>
      <c r="C309" s="93">
        <f t="shared" si="21"/>
        <v>17767</v>
      </c>
      <c r="D309" s="74"/>
      <c r="E309" s="74">
        <v>1742</v>
      </c>
      <c r="F309" s="74">
        <v>0</v>
      </c>
      <c r="G309" s="89">
        <f>'4.pielikums'!B358</f>
        <v>19509</v>
      </c>
    </row>
    <row r="310" spans="1:7" ht="15.75">
      <c r="A310" s="105"/>
      <c r="B310" s="99" t="s">
        <v>341</v>
      </c>
      <c r="C310" s="93">
        <f t="shared" si="21"/>
        <v>875</v>
      </c>
      <c r="D310" s="74"/>
      <c r="E310" s="74">
        <v>0</v>
      </c>
      <c r="F310" s="74"/>
      <c r="G310" s="89">
        <f>'4.pielikums'!B365</f>
        <v>875</v>
      </c>
    </row>
    <row r="311" spans="1:7" ht="31.5">
      <c r="A311" s="105"/>
      <c r="B311" s="99" t="s">
        <v>266</v>
      </c>
      <c r="C311" s="93">
        <f t="shared" si="21"/>
        <v>81261</v>
      </c>
      <c r="D311" s="74"/>
      <c r="E311" s="74">
        <v>0</v>
      </c>
      <c r="F311" s="74"/>
      <c r="G311" s="89">
        <f>'4.pielikums'!B308</f>
        <v>81261</v>
      </c>
    </row>
    <row r="312" spans="1:7" ht="31.5">
      <c r="A312" s="105"/>
      <c r="B312" s="99" t="s">
        <v>260</v>
      </c>
      <c r="C312" s="93">
        <f t="shared" si="21"/>
        <v>80450</v>
      </c>
      <c r="D312" s="74"/>
      <c r="E312" s="74"/>
      <c r="F312" s="74"/>
      <c r="G312" s="89">
        <f>'4.pielikums'!B310</f>
        <v>80450</v>
      </c>
    </row>
    <row r="313" spans="1:7" ht="31.5">
      <c r="A313" s="105"/>
      <c r="B313" s="99" t="s">
        <v>270</v>
      </c>
      <c r="C313" s="93">
        <f t="shared" si="21"/>
        <v>26254</v>
      </c>
      <c r="D313" s="74"/>
      <c r="E313" s="74"/>
      <c r="F313" s="74"/>
      <c r="G313" s="89">
        <f>'4.pielikums'!B333</f>
        <v>26254</v>
      </c>
    </row>
    <row r="314" spans="1:7" ht="31.5">
      <c r="A314" s="105"/>
      <c r="B314" s="111" t="s">
        <v>373</v>
      </c>
      <c r="C314" s="93">
        <f t="shared" si="21"/>
        <v>77535</v>
      </c>
      <c r="D314" s="74"/>
      <c r="E314" s="74"/>
      <c r="F314" s="74"/>
      <c r="G314" s="89">
        <f>'4.pielikums'!B378</f>
        <v>77535</v>
      </c>
    </row>
    <row r="315" spans="1:7" ht="15.75">
      <c r="A315" s="105"/>
      <c r="B315" s="99" t="s">
        <v>375</v>
      </c>
      <c r="C315" s="93">
        <f t="shared" si="21"/>
        <v>1182</v>
      </c>
      <c r="D315" s="74"/>
      <c r="E315" s="74"/>
      <c r="F315" s="74"/>
      <c r="G315" s="89">
        <f>'4.pielikums'!B375</f>
        <v>1182</v>
      </c>
    </row>
    <row r="316" spans="1:7" ht="31.5">
      <c r="A316" s="105"/>
      <c r="B316" s="112" t="s">
        <v>379</v>
      </c>
      <c r="C316" s="93">
        <f t="shared" si="21"/>
        <v>5030</v>
      </c>
      <c r="D316" s="74"/>
      <c r="E316" s="74"/>
      <c r="F316" s="74"/>
      <c r="G316" s="89">
        <f>'4.pielikums'!B370</f>
        <v>5030</v>
      </c>
    </row>
    <row r="317" spans="1:7" ht="15.75">
      <c r="A317" s="105"/>
      <c r="B317" s="113" t="s">
        <v>328</v>
      </c>
      <c r="C317" s="93">
        <f t="shared" si="21"/>
        <v>82562</v>
      </c>
      <c r="D317" s="74"/>
      <c r="E317" s="74"/>
      <c r="F317" s="74"/>
      <c r="G317" s="89">
        <f>'4.pielikums'!B330</f>
        <v>82562</v>
      </c>
    </row>
    <row r="318" spans="1:7" ht="31.5">
      <c r="A318" s="76"/>
      <c r="B318" s="99" t="s">
        <v>147</v>
      </c>
      <c r="C318" s="93">
        <f t="shared" si="21"/>
        <v>151810</v>
      </c>
      <c r="D318" s="74"/>
      <c r="E318" s="74"/>
      <c r="F318" s="74"/>
      <c r="G318" s="89">
        <f>'4.pielikums'!B305</f>
        <v>151810</v>
      </c>
    </row>
    <row r="319" spans="1:7" ht="31.5">
      <c r="A319" s="76"/>
      <c r="B319" s="99" t="s">
        <v>102</v>
      </c>
      <c r="C319" s="93">
        <f t="shared" si="21"/>
        <v>10740</v>
      </c>
      <c r="D319" s="74"/>
      <c r="E319" s="74"/>
      <c r="F319" s="74"/>
      <c r="G319" s="89">
        <f>'4.pielikums'!B303</f>
        <v>10740</v>
      </c>
    </row>
    <row r="320" spans="1:7" ht="31.5">
      <c r="A320" s="76"/>
      <c r="B320" s="99" t="s">
        <v>409</v>
      </c>
      <c r="C320" s="93">
        <f t="shared" si="22" ref="C320">=G320-D320-E320-F320</f>
        <v>4625</v>
      </c>
      <c r="D320" s="74"/>
      <c r="E320" s="74">
        <v>7000</v>
      </c>
      <c r="F320" s="74"/>
      <c r="G320" s="89">
        <f>'4.pielikums'!B390</f>
        <v>11625</v>
      </c>
    </row>
    <row r="321" spans="1:7" ht="31.5">
      <c r="A321" s="76"/>
      <c r="B321" s="99" t="s">
        <v>410</v>
      </c>
      <c r="C321" s="93">
        <f t="shared" si="23" ref="C321">=G321-D321-E321-F321</f>
        <v>1068</v>
      </c>
      <c r="D321" s="74"/>
      <c r="E321" s="74">
        <v>4800</v>
      </c>
      <c r="F321" s="74"/>
      <c r="G321" s="89">
        <f>'4.pielikums'!B391</f>
        <v>5868</v>
      </c>
    </row>
    <row r="322" spans="1:7" ht="15.75">
      <c r="A322" s="90" t="s">
        <v>103</v>
      </c>
      <c r="B322" s="91" t="s">
        <v>104</v>
      </c>
      <c r="C322" s="75">
        <f>C323+C324</f>
        <v>3046199</v>
      </c>
      <c r="D322" s="75">
        <f>D323+D324</f>
        <v>1328482</v>
      </c>
      <c r="E322" s="75">
        <f>E323+E324</f>
        <v>1927502</v>
      </c>
      <c r="F322" s="75">
        <f>F323+F324</f>
        <v>0</v>
      </c>
      <c r="G322" s="89">
        <f>G323+G324</f>
        <v>6302183</v>
      </c>
    </row>
    <row r="323" spans="1:7" ht="15.75">
      <c r="A323" s="90"/>
      <c r="B323" s="92" t="s">
        <v>57</v>
      </c>
      <c r="C323" s="93">
        <f>G323-D323-E323-F323</f>
        <v>234722</v>
      </c>
      <c r="D323" s="74">
        <v>9500</v>
      </c>
      <c r="E323" s="74">
        <v>502</v>
      </c>
      <c r="F323" s="74"/>
      <c r="G323" s="89">
        <f>'4.pielikums'!B342</f>
        <v>244724</v>
      </c>
    </row>
    <row r="324" spans="1:7" ht="47.25">
      <c r="A324" s="103"/>
      <c r="B324" s="109" t="s">
        <v>105</v>
      </c>
      <c r="C324" s="75">
        <f>SUM(C325:C344)</f>
        <v>2811477</v>
      </c>
      <c r="D324" s="75">
        <f>SUM(D325:D344)</f>
        <v>1318982</v>
      </c>
      <c r="E324" s="75">
        <f>SUM(E325:E345)</f>
        <v>1927000</v>
      </c>
      <c r="F324" s="75">
        <f>SUM(F325:F344)</f>
        <v>0</v>
      </c>
      <c r="G324" s="89">
        <f>SUM(G325:G345)</f>
        <v>6057459</v>
      </c>
    </row>
    <row r="325" spans="1:7" ht="15.75">
      <c r="A325" s="90"/>
      <c r="B325" s="92" t="s">
        <v>307</v>
      </c>
      <c r="C325" s="93">
        <f t="shared" si="24" ref="C325:C344">=G325-D325-E325-F325</f>
        <v>628743</v>
      </c>
      <c r="D325" s="74">
        <f>11187+5329+1000</f>
        <v>17516</v>
      </c>
      <c r="E325" s="74">
        <f>8650+3406+5306</f>
        <v>17362</v>
      </c>
      <c r="F325" s="74"/>
      <c r="G325" s="89">
        <f>'4.pielikums'!B344</f>
        <v>663621</v>
      </c>
    </row>
    <row r="326" spans="1:7" ht="15.75">
      <c r="A326" s="90"/>
      <c r="B326" s="92" t="s">
        <v>404</v>
      </c>
      <c r="C326" s="93">
        <f t="shared" si="24"/>
        <v>865405</v>
      </c>
      <c r="D326" s="74"/>
      <c r="E326" s="74">
        <f>174500+140000</f>
        <v>314500</v>
      </c>
      <c r="F326" s="74"/>
      <c r="G326" s="89">
        <f>'4.pielikums'!B348</f>
        <v>1179905</v>
      </c>
    </row>
    <row r="327" spans="1:7" ht="15.75">
      <c r="A327" s="90"/>
      <c r="B327" s="92" t="s">
        <v>300</v>
      </c>
      <c r="C327" s="93">
        <f t="shared" si="24"/>
        <v>20460</v>
      </c>
      <c r="D327" s="74"/>
      <c r="E327" s="74"/>
      <c r="F327" s="74"/>
      <c r="G327" s="89">
        <f>'4.pielikums'!B349</f>
        <v>20460</v>
      </c>
    </row>
    <row r="328" spans="1:7" ht="15.75">
      <c r="A328" s="90"/>
      <c r="B328" s="92" t="s">
        <v>58</v>
      </c>
      <c r="C328" s="93">
        <f t="shared" si="24"/>
        <v>13392</v>
      </c>
      <c r="D328" s="74">
        <v>10200</v>
      </c>
      <c r="E328" s="74"/>
      <c r="F328" s="74"/>
      <c r="G328" s="89">
        <f>'4.pielikums'!B346</f>
        <v>23592</v>
      </c>
    </row>
    <row r="329" spans="1:7" ht="15.75">
      <c r="A329" s="90"/>
      <c r="B329" s="92" t="s">
        <v>128</v>
      </c>
      <c r="C329" s="93">
        <f t="shared" si="24"/>
        <v>151298</v>
      </c>
      <c r="D329" s="74">
        <v>3968</v>
      </c>
      <c r="E329" s="74"/>
      <c r="F329" s="74"/>
      <c r="G329" s="89">
        <f>'4.pielikums'!B347</f>
        <v>155266</v>
      </c>
    </row>
    <row r="330" spans="1:7" ht="15.75">
      <c r="A330" s="76"/>
      <c r="B330" s="92" t="s">
        <v>56</v>
      </c>
      <c r="C330" s="93">
        <f t="shared" si="24"/>
        <v>737709</v>
      </c>
      <c r="D330" s="74">
        <f>623520+9000+1000+2700+7000+123450+23184</f>
        <v>789854</v>
      </c>
      <c r="E330" s="74">
        <f>86736+68140</f>
        <v>154876</v>
      </c>
      <c r="F330" s="74"/>
      <c r="G330" s="89">
        <f>'4.pielikums'!B334</f>
        <v>1682439</v>
      </c>
    </row>
    <row r="331" spans="1:7" ht="15.75">
      <c r="A331" s="76"/>
      <c r="B331" s="94" t="s">
        <v>206</v>
      </c>
      <c r="C331" s="93">
        <f t="shared" si="24"/>
        <v>71662</v>
      </c>
      <c r="D331" s="74">
        <v>206298</v>
      </c>
      <c r="E331" s="74">
        <f>7200+16560</f>
        <v>23760</v>
      </c>
      <c r="F331" s="74"/>
      <c r="G331" s="89">
        <f>'4.pielikums'!B336</f>
        <v>301720</v>
      </c>
    </row>
    <row r="332" spans="1:7" ht="15.75">
      <c r="A332" s="76"/>
      <c r="B332" s="102" t="s">
        <v>208</v>
      </c>
      <c r="C332" s="93">
        <f t="shared" si="24"/>
        <v>55704</v>
      </c>
      <c r="D332" s="74">
        <f>14338+109200+1800+30+2820</f>
        <v>128188</v>
      </c>
      <c r="E332" s="74">
        <v>15456</v>
      </c>
      <c r="F332" s="74"/>
      <c r="G332" s="89">
        <f>'4.pielikums'!B337</f>
        <v>199348</v>
      </c>
    </row>
    <row r="333" spans="1:7" ht="15.75">
      <c r="A333" s="76"/>
      <c r="B333" s="102" t="s">
        <v>207</v>
      </c>
      <c r="C333" s="93">
        <f>G333-D333-E333-F333</f>
        <v>122603</v>
      </c>
      <c r="D333" s="74">
        <f>14338+109800+1560+21690</f>
        <v>147388</v>
      </c>
      <c r="E333" s="74">
        <v>14444</v>
      </c>
      <c r="F333" s="74"/>
      <c r="G333" s="89">
        <f>'4.pielikums'!B339</f>
        <v>284435</v>
      </c>
    </row>
    <row r="334" spans="1:7" ht="31.5">
      <c r="A334" s="76"/>
      <c r="B334" s="102" t="s">
        <v>276</v>
      </c>
      <c r="C334" s="93">
        <f t="shared" si="24"/>
        <v>5700</v>
      </c>
      <c r="D334" s="74"/>
      <c r="E334" s="74"/>
      <c r="F334" s="74"/>
      <c r="G334" s="89">
        <f>'4.pielikums'!B351</f>
        <v>5700</v>
      </c>
    </row>
    <row r="335" spans="1:7" ht="15.75">
      <c r="A335" s="76"/>
      <c r="B335" s="102" t="s">
        <v>272</v>
      </c>
      <c r="C335" s="93">
        <f t="shared" si="24"/>
        <v>0</v>
      </c>
      <c r="D335" s="74">
        <v>1900</v>
      </c>
      <c r="E335" s="74"/>
      <c r="F335" s="74"/>
      <c r="G335" s="89">
        <f>'4.pielikums'!B341</f>
        <v>1900</v>
      </c>
    </row>
    <row r="336" spans="1:7" ht="31.5">
      <c r="A336" s="76"/>
      <c r="B336" s="114" t="s">
        <v>387</v>
      </c>
      <c r="C336" s="93">
        <f t="shared" si="24"/>
        <v>11180</v>
      </c>
      <c r="D336" s="74"/>
      <c r="E336" s="74"/>
      <c r="F336" s="74"/>
      <c r="G336" s="89">
        <f>'4.pielikums'!B381+'4.pielikums'!B382+'4.pielikums'!B383+'4.pielikums'!B384+'4.pielikums'!B385</f>
        <v>11180</v>
      </c>
    </row>
    <row r="337" spans="1:7" ht="41.25" customHeight="1">
      <c r="A337" s="76"/>
      <c r="B337" s="126" t="s">
        <v>415</v>
      </c>
      <c r="C337" s="93">
        <f t="shared" si="24"/>
        <v>3500</v>
      </c>
      <c r="D337" s="74"/>
      <c r="E337" s="74"/>
      <c r="F337" s="74"/>
      <c r="G337" s="89">
        <f>'4.pielikums'!B386</f>
        <v>3500</v>
      </c>
    </row>
    <row r="338" spans="1:7" ht="31.5">
      <c r="A338" s="76"/>
      <c r="B338" s="113" t="s">
        <v>273</v>
      </c>
      <c r="C338" s="93">
        <f t="shared" si="24"/>
        <v>3764</v>
      </c>
      <c r="D338" s="74">
        <v>600</v>
      </c>
      <c r="E338" s="74"/>
      <c r="F338" s="74"/>
      <c r="G338" s="89">
        <f>'4.pielikums'!B356</f>
        <v>4364</v>
      </c>
    </row>
    <row r="339" spans="1:7" ht="31.5">
      <c r="A339" s="76"/>
      <c r="B339" s="104" t="s">
        <v>308</v>
      </c>
      <c r="C339" s="93">
        <f t="shared" si="24"/>
        <v>34624</v>
      </c>
      <c r="D339" s="74"/>
      <c r="E339" s="74">
        <v>53853</v>
      </c>
      <c r="F339" s="74"/>
      <c r="G339" s="89">
        <f>'4.pielikums'!B357</f>
        <v>88477</v>
      </c>
    </row>
    <row r="340" spans="1:7" ht="31.5">
      <c r="A340" s="76"/>
      <c r="B340" s="99" t="s">
        <v>106</v>
      </c>
      <c r="C340" s="93">
        <f t="shared" si="24"/>
        <v>0</v>
      </c>
      <c r="D340" s="74"/>
      <c r="E340" s="74">
        <v>403451</v>
      </c>
      <c r="F340" s="74"/>
      <c r="G340" s="89">
        <f>'4.pielikums'!B352</f>
        <v>403451</v>
      </c>
    </row>
    <row r="341" spans="1:7" ht="31.5">
      <c r="A341" s="76"/>
      <c r="B341" s="99" t="s">
        <v>154</v>
      </c>
      <c r="C341" s="93">
        <f t="shared" si="24"/>
        <v>21749</v>
      </c>
      <c r="D341" s="74">
        <f>2232+10838</f>
        <v>13070</v>
      </c>
      <c r="E341" s="74">
        <v>219408</v>
      </c>
      <c r="F341" s="74"/>
      <c r="G341" s="89">
        <f>'4.pielikums'!B355</f>
        <v>254227</v>
      </c>
    </row>
    <row r="342" spans="1:7" ht="31.5">
      <c r="A342" s="76"/>
      <c r="B342" s="99" t="s">
        <v>122</v>
      </c>
      <c r="C342" s="93">
        <f t="shared" si="24"/>
        <v>0</v>
      </c>
      <c r="D342" s="74"/>
      <c r="E342" s="74">
        <v>170358</v>
      </c>
      <c r="F342" s="74"/>
      <c r="G342" s="89">
        <f>'4.pielikums'!B354</f>
        <v>170358</v>
      </c>
    </row>
    <row r="343" spans="1:7" ht="31.5">
      <c r="A343" s="76"/>
      <c r="B343" s="100" t="s">
        <v>309</v>
      </c>
      <c r="C343" s="93">
        <f t="shared" si="24"/>
        <v>59250</v>
      </c>
      <c r="D343" s="74"/>
      <c r="E343" s="93">
        <f>73058+19354</f>
        <v>92412</v>
      </c>
      <c r="F343" s="74"/>
      <c r="G343" s="89">
        <f>'4.pielikums'!B350</f>
        <v>151662</v>
      </c>
    </row>
    <row r="344" spans="1:7" ht="31.5">
      <c r="A344" s="76"/>
      <c r="B344" s="94" t="s">
        <v>121</v>
      </c>
      <c r="C344" s="93">
        <f t="shared" si="24"/>
        <v>4734</v>
      </c>
      <c r="D344" s="74"/>
      <c r="E344" s="74">
        <v>23120</v>
      </c>
      <c r="F344" s="74"/>
      <c r="G344" s="89">
        <f>'4.pielikums'!B353</f>
        <v>27854</v>
      </c>
    </row>
    <row r="345" spans="1:7" ht="31.5">
      <c r="A345" s="76"/>
      <c r="B345" s="94" t="s">
        <v>402</v>
      </c>
      <c r="C345" s="93">
        <f t="shared" si="25" ref="C345">=G345-D345-E345-F345</f>
        <v>0</v>
      </c>
      <c r="D345" s="74"/>
      <c r="E345" s="74">
        <v>424000</v>
      </c>
      <c r="F345" s="74"/>
      <c r="G345" s="89">
        <f>'4.pielikums'!B392</f>
        <v>424000</v>
      </c>
    </row>
    <row r="346" spans="1:6" ht="15.75">
      <c r="A346" s="115"/>
      <c r="B346" s="80"/>
      <c r="C346" s="80"/>
      <c r="D346" s="80"/>
      <c r="E346" s="116"/>
      <c r="F346" s="116"/>
    </row>
    <row r="347" spans="1:6" ht="18.75">
      <c r="A347" s="115"/>
      <c r="B347" s="117" t="s">
        <v>418</v>
      </c>
      <c r="C347" s="117"/>
      <c r="D347" s="117"/>
      <c r="E347" s="117"/>
      <c r="F347" s="117"/>
    </row>
    <row r="348" spans="1:6" ht="15">
      <c r="A348" s="115"/>
      <c r="B348" s="116"/>
      <c r="C348" s="116"/>
      <c r="D348" s="116"/>
      <c r="E348" s="116"/>
      <c r="F348" s="116"/>
    </row>
    <row r="349" spans="7:7" ht="15">
      <c r="G349" s="85"/>
    </row>
    <row r="350" spans="3:3" ht="15">
      <c r="C350" s="85"/>
    </row>
    <row r="353" spans="3:3" ht="15">
      <c r="C353" s="85"/>
    </row>
    <row r="354" spans="3:3" ht="15">
      <c r="C354" s="85"/>
    </row>
    <row r="355" spans="3:3" ht="15">
      <c r="C355" s="85"/>
    </row>
  </sheetData>
  <mergeCells count="6">
    <mergeCell ref="B12:F12"/>
    <mergeCell ref="B11:F11"/>
    <mergeCell ref="G14:G15"/>
    <mergeCell ref="C14:F14"/>
    <mergeCell ref="A14:A15"/>
    <mergeCell ref="B14:B15"/>
  </mergeCells>
  <printOptions horizontalCentered="1"/>
  <pageMargins left="0.7" right="0.7" top="0.75" bottom="0.75" header="0.3" footer="0.3"/>
  <pageSetup fitToHeight="0" fitToWidth="0" horizontalDpi="300" verticalDpi="300" orientation="landscape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6f5c4ce-1497-4cfe-b807-69488d320a3d}">
  <sheetPr>
    <pageSetUpPr fitToPage="1"/>
  </sheetPr>
  <dimension ref="A1:I414"/>
  <sheetViews>
    <sheetView tabSelected="1" zoomScale="96" zoomScaleNormal="96" workbookViewId="0" topLeftCell="A388">
      <selection pane="topLeft" activeCell="H394" sqref="H394"/>
    </sheetView>
  </sheetViews>
  <sheetFormatPr defaultColWidth="9.144285714285713" defaultRowHeight="15"/>
  <cols>
    <col min="1" max="1" width="34.57142857142857" customWidth="1"/>
    <col min="2" max="2" width="18.142857142857142" customWidth="1"/>
    <col min="3" max="3" width="11.285714285714286" customWidth="1"/>
    <col min="4" max="4" width="14" customWidth="1"/>
    <col min="5" max="9" width="16.571428571428573" customWidth="1"/>
  </cols>
  <sheetData>
    <row r="1" spans="9:9" ht="15.75">
      <c r="I1" s="42" t="s">
        <v>280</v>
      </c>
    </row>
    <row r="2" spans="9:9" ht="15.75">
      <c r="I2" s="16" t="s">
        <v>413</v>
      </c>
    </row>
    <row r="3" spans="9:9" ht="15.75">
      <c r="I3" s="16" t="s">
        <v>419</v>
      </c>
    </row>
    <row r="4" spans="9:9" ht="15.75">
      <c r="I4" s="16" t="s">
        <v>399</v>
      </c>
    </row>
    <row r="5" spans="5:9" ht="15.75" customHeight="1">
      <c r="E5" s="16"/>
      <c r="F5" s="16"/>
      <c r="G5" s="16"/>
      <c r="H5" s="16"/>
      <c r="I5" s="16" t="s">
        <v>400</v>
      </c>
    </row>
    <row r="6" spans="5:8" ht="15.75" customHeight="1">
      <c r="E6" s="16"/>
      <c r="F6" s="16"/>
      <c r="G6" s="16"/>
      <c r="H6" s="16"/>
    </row>
    <row r="7" spans="5:9" ht="15.75" customHeight="1">
      <c r="E7" s="16"/>
      <c r="F7" s="16"/>
      <c r="G7" s="16"/>
      <c r="H7" s="16"/>
      <c r="I7" s="42" t="s">
        <v>280</v>
      </c>
    </row>
    <row r="8" spans="5:9" ht="15.75" customHeight="1">
      <c r="E8" s="16"/>
      <c r="F8" s="16"/>
      <c r="G8" s="16"/>
      <c r="H8" s="16"/>
      <c r="I8" s="16" t="s">
        <v>413</v>
      </c>
    </row>
    <row r="9" spans="5:9" ht="15.75" customHeight="1">
      <c r="E9" s="16"/>
      <c r="F9" s="16"/>
      <c r="G9" s="16"/>
      <c r="H9" s="16"/>
      <c r="I9" s="16" t="s">
        <v>401</v>
      </c>
    </row>
    <row r="10" spans="5:9" ht="15.75" customHeight="1">
      <c r="E10" s="20"/>
      <c r="F10" s="19"/>
      <c r="G10" s="16"/>
      <c r="H10" s="16"/>
      <c r="I10" s="16" t="s">
        <v>287</v>
      </c>
    </row>
    <row r="11" spans="5:9" ht="15.75" customHeight="1">
      <c r="E11" s="20"/>
      <c r="F11" s="19"/>
      <c r="G11" s="16"/>
      <c r="H11" s="16"/>
      <c r="I11" s="16"/>
    </row>
    <row r="12" spans="5:9" ht="15">
      <c r="E12" s="15"/>
      <c r="F12" s="15"/>
      <c r="G12" s="15"/>
      <c r="H12" s="15"/>
      <c r="I12" s="15"/>
    </row>
    <row r="13" spans="1:9" ht="15.75" customHeight="1">
      <c r="A13" s="4" t="s">
        <v>376</v>
      </c>
      <c r="B13" s="4"/>
      <c r="C13" s="4"/>
      <c r="D13" s="4"/>
      <c r="E13" s="4"/>
      <c r="F13" s="4"/>
      <c r="G13" s="4"/>
      <c r="H13" s="4"/>
      <c r="I13" s="4"/>
    </row>
    <row r="15" spans="1:9" ht="15" customHeight="1">
      <c r="A15" s="2" t="s">
        <v>0</v>
      </c>
      <c r="B15" s="1" t="s">
        <v>378</v>
      </c>
      <c r="C15" s="3" t="s">
        <v>165</v>
      </c>
      <c r="D15" s="3"/>
      <c r="E15" s="3"/>
      <c r="F15" s="3"/>
      <c r="G15" s="3"/>
      <c r="H15" s="3"/>
      <c r="I15" s="3"/>
    </row>
    <row r="16" spans="1:9" ht="15">
      <c r="A16" s="2"/>
      <c r="B16" s="1"/>
      <c r="C16" s="26">
        <v>1000</v>
      </c>
      <c r="D16" s="26">
        <v>2000</v>
      </c>
      <c r="E16" s="26">
        <v>3000</v>
      </c>
      <c r="F16" s="26">
        <v>4000</v>
      </c>
      <c r="G16" s="26">
        <v>5000</v>
      </c>
      <c r="H16" s="23">
        <v>6000</v>
      </c>
      <c r="I16" s="23">
        <v>7000</v>
      </c>
    </row>
    <row r="17" spans="1:9" ht="45">
      <c r="A17" s="2"/>
      <c r="B17" s="1"/>
      <c r="C17" s="23" t="s">
        <v>160</v>
      </c>
      <c r="D17" s="23" t="s">
        <v>161</v>
      </c>
      <c r="E17" s="23" t="s">
        <v>162</v>
      </c>
      <c r="F17" s="23" t="s">
        <v>163</v>
      </c>
      <c r="G17" s="23" t="s">
        <v>164</v>
      </c>
      <c r="H17" s="23" t="s">
        <v>158</v>
      </c>
      <c r="I17" s="23" t="s">
        <v>159</v>
      </c>
    </row>
    <row r="18" spans="1:9" ht="30" customHeight="1">
      <c r="A18" s="43" t="s">
        <v>1</v>
      </c>
      <c r="B18" s="44">
        <f>SUM(C18:I18)</f>
        <v>1713632</v>
      </c>
      <c r="C18" s="24">
        <f>1478320+C19</f>
        <v>1463412</v>
      </c>
      <c r="D18" s="24">
        <f>195099+D19</f>
        <v>208469</v>
      </c>
      <c r="E18" s="24">
        <v>0</v>
      </c>
      <c r="F18" s="24">
        <v>0</v>
      </c>
      <c r="G18" s="24">
        <f>1000+39213</f>
        <v>40213</v>
      </c>
      <c r="H18" s="24">
        <f>H19</f>
        <v>1538</v>
      </c>
      <c r="I18" s="24">
        <v>0</v>
      </c>
    </row>
    <row r="19" spans="1:9" ht="30" customHeight="1">
      <c r="A19" s="121" t="s">
        <v>391</v>
      </c>
      <c r="B19" s="59">
        <f>SUM(C19:I19)</f>
        <v>0</v>
      </c>
      <c r="C19" s="24">
        <v>-14908</v>
      </c>
      <c r="D19" s="24">
        <v>13370</v>
      </c>
      <c r="E19" s="24"/>
      <c r="F19" s="24"/>
      <c r="G19" s="24"/>
      <c r="H19" s="24">
        <v>1538</v>
      </c>
      <c r="I19" s="24"/>
    </row>
    <row r="20" spans="1:9" ht="15" customHeight="1">
      <c r="A20" s="43" t="s">
        <v>2</v>
      </c>
      <c r="B20" s="44">
        <f t="shared" si="0" ref="B20:B91">=SUM(C20:I20)</f>
        <v>168262</v>
      </c>
      <c r="C20" s="24">
        <v>168262</v>
      </c>
      <c r="D20" s="24">
        <v>0</v>
      </c>
      <c r="E20" s="24">
        <v>0</v>
      </c>
      <c r="F20" s="24">
        <v>0</v>
      </c>
      <c r="G20" s="24"/>
      <c r="H20" s="24">
        <v>0</v>
      </c>
      <c r="I20" s="24">
        <v>0</v>
      </c>
    </row>
    <row r="21" spans="1:9" ht="30.6" customHeight="1">
      <c r="A21" s="43" t="s">
        <v>299</v>
      </c>
      <c r="B21" s="44">
        <f t="shared" si="0"/>
        <v>192937</v>
      </c>
      <c r="C21" s="24">
        <f>194937+C22</f>
        <v>192937</v>
      </c>
      <c r="D21" s="24"/>
      <c r="E21" s="24"/>
      <c r="F21" s="24"/>
      <c r="G21" s="24"/>
      <c r="H21" s="24"/>
      <c r="I21" s="24"/>
    </row>
    <row r="22" spans="1:9" ht="30.6" customHeight="1">
      <c r="A22" s="121" t="s">
        <v>391</v>
      </c>
      <c r="B22" s="44">
        <f t="shared" si="0"/>
        <v>-2000</v>
      </c>
      <c r="C22" s="24">
        <v>-2000</v>
      </c>
      <c r="D22" s="24"/>
      <c r="E22" s="24"/>
      <c r="F22" s="24"/>
      <c r="G22" s="24"/>
      <c r="H22" s="24"/>
      <c r="I22" s="24"/>
    </row>
    <row r="23" spans="1:9" ht="30.6" customHeight="1">
      <c r="A23" s="43" t="s">
        <v>344</v>
      </c>
      <c r="B23" s="44">
        <f t="shared" si="0"/>
        <v>32330</v>
      </c>
      <c r="C23" s="24">
        <f>27800+C24</f>
        <v>32330</v>
      </c>
      <c r="D23" s="24"/>
      <c r="E23" s="24"/>
      <c r="F23" s="24"/>
      <c r="G23" s="24"/>
      <c r="H23" s="24"/>
      <c r="I23" s="24"/>
    </row>
    <row r="24" spans="1:9" ht="30.6" customHeight="1">
      <c r="A24" s="121" t="s">
        <v>391</v>
      </c>
      <c r="B24" s="44">
        <f t="shared" si="0"/>
        <v>4530</v>
      </c>
      <c r="C24" s="24">
        <v>4530</v>
      </c>
      <c r="D24" s="24"/>
      <c r="E24" s="24"/>
      <c r="F24" s="24"/>
      <c r="G24" s="24"/>
      <c r="H24" s="24"/>
      <c r="I24" s="24"/>
    </row>
    <row r="25" spans="1:9" ht="30.6" customHeight="1">
      <c r="A25" s="43" t="s">
        <v>331</v>
      </c>
      <c r="B25" s="44">
        <f t="shared" si="0"/>
        <v>27177</v>
      </c>
      <c r="C25" s="24">
        <v>24549</v>
      </c>
      <c r="D25" s="24">
        <v>2628</v>
      </c>
      <c r="E25" s="24"/>
      <c r="F25" s="24"/>
      <c r="G25" s="24"/>
      <c r="H25" s="24"/>
      <c r="I25" s="24"/>
    </row>
    <row r="26" spans="1:9" ht="15" customHeight="1">
      <c r="A26" s="45" t="s">
        <v>3</v>
      </c>
      <c r="B26" s="44">
        <f t="shared" si="0"/>
        <v>33633</v>
      </c>
      <c r="C26" s="24">
        <v>28748</v>
      </c>
      <c r="D26" s="24">
        <f>4105+780</f>
        <v>4885</v>
      </c>
      <c r="E26" s="24">
        <v>0</v>
      </c>
      <c r="F26" s="24">
        <v>0</v>
      </c>
      <c r="G26" s="24"/>
      <c r="H26" s="24">
        <v>0</v>
      </c>
      <c r="I26" s="24">
        <v>0</v>
      </c>
    </row>
    <row r="27" spans="1:9" ht="15" customHeight="1">
      <c r="A27" s="45" t="s">
        <v>168</v>
      </c>
      <c r="B27" s="44">
        <f t="shared" si="0"/>
        <v>68223</v>
      </c>
      <c r="C27" s="24">
        <v>44631</v>
      </c>
      <c r="D27" s="24">
        <v>23592</v>
      </c>
      <c r="E27" s="24"/>
      <c r="F27" s="24"/>
      <c r="G27" s="24">
        <v>0</v>
      </c>
      <c r="H27" s="24">
        <v>0</v>
      </c>
      <c r="I27" s="24">
        <v>0</v>
      </c>
    </row>
    <row r="28" spans="1:9" ht="30" customHeight="1">
      <c r="A28" s="45" t="s">
        <v>4</v>
      </c>
      <c r="B28" s="44">
        <f t="shared" si="0"/>
        <v>32337</v>
      </c>
      <c r="C28" s="24">
        <v>28453</v>
      </c>
      <c r="D28" s="24">
        <v>3884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</row>
    <row r="29" spans="1:9" ht="30" customHeight="1">
      <c r="A29" s="45" t="s">
        <v>5</v>
      </c>
      <c r="B29" s="44">
        <f t="shared" si="0"/>
        <v>48921</v>
      </c>
      <c r="C29" s="24">
        <v>35740</v>
      </c>
      <c r="D29" s="24">
        <v>13181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</row>
    <row r="30" spans="1:9" ht="30" customHeight="1">
      <c r="A30" s="45" t="s">
        <v>6</v>
      </c>
      <c r="B30" s="44">
        <f>SUM(C30:I30)</f>
        <v>40980</v>
      </c>
      <c r="C30" s="24">
        <f>22144+6839</f>
        <v>28983</v>
      </c>
      <c r="D30" s="24">
        <v>11997</v>
      </c>
      <c r="E30" s="24">
        <v>0</v>
      </c>
      <c r="F30" s="24">
        <v>0</v>
      </c>
      <c r="G30" s="24"/>
      <c r="H30" s="24">
        <v>0</v>
      </c>
      <c r="I30" s="24">
        <v>0</v>
      </c>
    </row>
    <row r="31" spans="1:9" ht="30" customHeight="1">
      <c r="A31" s="45" t="s">
        <v>7</v>
      </c>
      <c r="B31" s="44">
        <f t="shared" si="0"/>
        <v>38424</v>
      </c>
      <c r="C31" s="24">
        <f>21376+6656</f>
        <v>28032</v>
      </c>
      <c r="D31" s="24">
        <v>10339</v>
      </c>
      <c r="E31" s="24">
        <v>0</v>
      </c>
      <c r="F31" s="24">
        <v>0</v>
      </c>
      <c r="G31" s="24">
        <v>53</v>
      </c>
      <c r="H31" s="24">
        <v>0</v>
      </c>
      <c r="I31" s="24">
        <v>0</v>
      </c>
    </row>
    <row r="32" spans="1:9" ht="15" customHeight="1">
      <c r="A32" s="45" t="s">
        <v>8</v>
      </c>
      <c r="B32" s="44">
        <f t="shared" si="0"/>
        <v>41522</v>
      </c>
      <c r="C32" s="24">
        <v>33606</v>
      </c>
      <c r="D32" s="24">
        <v>7916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</row>
    <row r="33" spans="1:9" ht="28.5" customHeight="1">
      <c r="A33" s="45" t="s">
        <v>169</v>
      </c>
      <c r="B33" s="44">
        <f t="shared" si="0"/>
        <v>39813</v>
      </c>
      <c r="C33" s="24">
        <v>30572</v>
      </c>
      <c r="D33" s="24">
        <v>9241</v>
      </c>
      <c r="E33" s="24"/>
      <c r="F33" s="24"/>
      <c r="G33" s="24">
        <v>0</v>
      </c>
      <c r="H33" s="24"/>
      <c r="I33" s="24"/>
    </row>
    <row r="34" spans="1:9" ht="28.5" customHeight="1">
      <c r="A34" s="45" t="s">
        <v>216</v>
      </c>
      <c r="B34" s="44">
        <f t="shared" si="0"/>
        <v>52841</v>
      </c>
      <c r="C34" s="24">
        <v>44807</v>
      </c>
      <c r="D34" s="24">
        <f>9084+D35</f>
        <v>8034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</row>
    <row r="35" spans="1:9" ht="28.5" customHeight="1">
      <c r="A35" s="60" t="s">
        <v>391</v>
      </c>
      <c r="B35" s="44">
        <f t="shared" si="0"/>
        <v>-1050</v>
      </c>
      <c r="C35" s="24"/>
      <c r="D35" s="24">
        <v>-1050</v>
      </c>
      <c r="E35" s="24"/>
      <c r="F35" s="24"/>
      <c r="G35" s="24"/>
      <c r="H35" s="24"/>
      <c r="I35" s="24"/>
    </row>
    <row r="36" spans="1:9" ht="15" customHeight="1">
      <c r="A36" s="45" t="s">
        <v>9</v>
      </c>
      <c r="B36" s="44">
        <f t="shared" si="0"/>
        <v>25560</v>
      </c>
      <c r="C36" s="24">
        <v>21026</v>
      </c>
      <c r="D36" s="24">
        <v>4534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</row>
    <row r="37" spans="1:9" ht="30" customHeight="1">
      <c r="A37" s="45" t="s">
        <v>170</v>
      </c>
      <c r="B37" s="44">
        <f t="shared" si="0"/>
        <v>48198</v>
      </c>
      <c r="C37" s="24">
        <v>29653</v>
      </c>
      <c r="D37" s="24">
        <v>18545</v>
      </c>
      <c r="E37" s="24"/>
      <c r="F37" s="24"/>
      <c r="G37" s="24"/>
      <c r="H37" s="24"/>
      <c r="I37" s="24"/>
    </row>
    <row r="38" spans="1:9" ht="30" customHeight="1">
      <c r="A38" s="45" t="s">
        <v>217</v>
      </c>
      <c r="B38" s="44">
        <f t="shared" si="0"/>
        <v>84163</v>
      </c>
      <c r="C38" s="24">
        <f>52440+15406+C39</f>
        <v>64726</v>
      </c>
      <c r="D38" s="24">
        <f>21757+D39</f>
        <v>19437</v>
      </c>
      <c r="E38" s="24"/>
      <c r="F38" s="24"/>
      <c r="G38" s="24">
        <v>0</v>
      </c>
      <c r="H38" s="24"/>
      <c r="I38" s="24"/>
    </row>
    <row r="39" spans="1:9" ht="30" customHeight="1">
      <c r="A39" s="60" t="s">
        <v>391</v>
      </c>
      <c r="B39" s="44">
        <f t="shared" si="0"/>
        <v>-5440</v>
      </c>
      <c r="C39" s="24">
        <v>-3120</v>
      </c>
      <c r="D39" s="24">
        <v>-2320</v>
      </c>
      <c r="E39" s="24"/>
      <c r="F39" s="24"/>
      <c r="G39" s="24"/>
      <c r="H39" s="24"/>
      <c r="I39" s="24"/>
    </row>
    <row r="40" spans="1:9" ht="30" customHeight="1">
      <c r="A40" s="45" t="s">
        <v>171</v>
      </c>
      <c r="B40" s="44">
        <f t="shared" si="0"/>
        <v>20499</v>
      </c>
      <c r="C40" s="24">
        <v>15325</v>
      </c>
      <c r="D40" s="24">
        <v>5174</v>
      </c>
      <c r="E40" s="24"/>
      <c r="F40" s="24"/>
      <c r="G40" s="24"/>
      <c r="H40" s="24"/>
      <c r="I40" s="24"/>
    </row>
    <row r="41" spans="1:9" ht="33" customHeight="1">
      <c r="A41" s="45" t="s">
        <v>172</v>
      </c>
      <c r="B41" s="44">
        <f t="shared" si="0"/>
        <v>46376</v>
      </c>
      <c r="C41" s="24">
        <f>28225+8602</f>
        <v>36827</v>
      </c>
      <c r="D41" s="24">
        <v>9549</v>
      </c>
      <c r="E41" s="24"/>
      <c r="F41" s="24"/>
      <c r="G41" s="24"/>
      <c r="H41" s="24"/>
      <c r="I41" s="24"/>
    </row>
    <row r="42" spans="1:9" ht="30" customHeight="1">
      <c r="A42" s="45" t="s">
        <v>10</v>
      </c>
      <c r="B42" s="44">
        <f t="shared" si="0"/>
        <v>44693</v>
      </c>
      <c r="C42" s="24">
        <v>33417</v>
      </c>
      <c r="D42" s="24">
        <v>11276</v>
      </c>
      <c r="E42" s="24">
        <v>0</v>
      </c>
      <c r="F42" s="24">
        <v>0</v>
      </c>
      <c r="G42" s="24"/>
      <c r="H42" s="24">
        <v>0</v>
      </c>
      <c r="I42" s="24">
        <v>0</v>
      </c>
    </row>
    <row r="43" spans="1:9" ht="15" customHeight="1">
      <c r="A43" s="45" t="s">
        <v>11</v>
      </c>
      <c r="B43" s="44">
        <f t="shared" si="0"/>
        <v>33644</v>
      </c>
      <c r="C43" s="24">
        <v>27936</v>
      </c>
      <c r="D43" s="24">
        <v>5708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</row>
    <row r="44" spans="1:9" ht="15" customHeight="1">
      <c r="A44" s="45" t="s">
        <v>173</v>
      </c>
      <c r="B44" s="44">
        <f t="shared" si="0"/>
        <v>35328</v>
      </c>
      <c r="C44" s="24">
        <v>29324</v>
      </c>
      <c r="D44" s="24">
        <v>6004</v>
      </c>
      <c r="E44" s="24"/>
      <c r="F44" s="24"/>
      <c r="G44" s="24"/>
      <c r="H44" s="24"/>
      <c r="I44" s="24"/>
    </row>
    <row r="45" spans="1:9" ht="15" customHeight="1">
      <c r="A45" s="45" t="s">
        <v>12</v>
      </c>
      <c r="B45" s="44">
        <f t="shared" si="0"/>
        <v>39658</v>
      </c>
      <c r="C45" s="24">
        <v>31475</v>
      </c>
      <c r="D45" s="24">
        <v>8183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ht="15" customHeight="1">
      <c r="A46" s="45" t="s">
        <v>166</v>
      </c>
      <c r="B46" s="44">
        <f t="shared" si="0"/>
        <v>67000</v>
      </c>
      <c r="C46" s="24">
        <v>41701</v>
      </c>
      <c r="D46" s="24">
        <v>25299</v>
      </c>
      <c r="E46" s="24"/>
      <c r="F46" s="24"/>
      <c r="G46" s="24">
        <v>0</v>
      </c>
      <c r="H46" s="24"/>
      <c r="I46" s="24">
        <v>0</v>
      </c>
    </row>
    <row r="47" spans="1:9" ht="15" customHeight="1">
      <c r="A47" s="45" t="s">
        <v>174</v>
      </c>
      <c r="B47" s="44">
        <f t="shared" si="0"/>
        <v>36521</v>
      </c>
      <c r="C47" s="24">
        <v>30675</v>
      </c>
      <c r="D47" s="24">
        <v>5846</v>
      </c>
      <c r="E47" s="24"/>
      <c r="F47" s="24"/>
      <c r="G47" s="24"/>
      <c r="H47" s="24"/>
      <c r="I47" s="24"/>
    </row>
    <row r="48" spans="1:9" ht="36.75" customHeight="1">
      <c r="A48" s="45" t="s">
        <v>167</v>
      </c>
      <c r="B48" s="44">
        <f t="shared" si="0"/>
        <v>121428</v>
      </c>
      <c r="C48" s="24">
        <v>95766</v>
      </c>
      <c r="D48" s="24">
        <f>23842+D49</f>
        <v>23607</v>
      </c>
      <c r="E48" s="24"/>
      <c r="F48" s="24"/>
      <c r="G48" s="24">
        <f>G49</f>
        <v>1820</v>
      </c>
      <c r="H48" s="24"/>
      <c r="I48" s="24">
        <f>I49</f>
        <v>235</v>
      </c>
    </row>
    <row r="49" spans="1:9" ht="24.75" customHeight="1">
      <c r="A49" s="60" t="s">
        <v>391</v>
      </c>
      <c r="B49" s="44">
        <f t="shared" si="0"/>
        <v>1820</v>
      </c>
      <c r="C49" s="24"/>
      <c r="D49" s="24">
        <v>-235</v>
      </c>
      <c r="E49" s="24"/>
      <c r="F49" s="24"/>
      <c r="G49" s="24">
        <v>1820</v>
      </c>
      <c r="H49" s="24"/>
      <c r="I49" s="24">
        <v>235</v>
      </c>
    </row>
    <row r="50" spans="1:9" ht="27.75" customHeight="1">
      <c r="A50" s="45" t="s">
        <v>13</v>
      </c>
      <c r="B50" s="44">
        <f t="shared" si="0"/>
        <v>0</v>
      </c>
      <c r="C50" s="24">
        <v>0</v>
      </c>
      <c r="D50" s="24">
        <f>18800+D51</f>
        <v>0</v>
      </c>
      <c r="E50" s="24">
        <v>0</v>
      </c>
      <c r="F50" s="24">
        <v>0</v>
      </c>
      <c r="G50" s="24"/>
      <c r="H50" s="24">
        <v>0</v>
      </c>
      <c r="I50" s="24">
        <v>0</v>
      </c>
    </row>
    <row r="51" spans="1:9" ht="15.75" customHeight="1">
      <c r="A51" s="61" t="s">
        <v>391</v>
      </c>
      <c r="B51" s="59">
        <f t="shared" si="1" ref="B51">=SUM(C51:I51)</f>
        <v>-18800</v>
      </c>
      <c r="C51" s="58"/>
      <c r="D51" s="24">
        <v>-18800</v>
      </c>
      <c r="E51" s="24"/>
      <c r="F51" s="24"/>
      <c r="G51" s="24"/>
      <c r="H51" s="24"/>
      <c r="I51" s="24"/>
    </row>
    <row r="52" spans="1:9" ht="31.5" customHeight="1">
      <c r="A52" s="45" t="s">
        <v>14</v>
      </c>
      <c r="B52" s="44">
        <f t="shared" si="0"/>
        <v>44661</v>
      </c>
      <c r="C52" s="24">
        <v>0</v>
      </c>
      <c r="D52" s="24">
        <v>41460</v>
      </c>
      <c r="E52" s="24">
        <v>3201</v>
      </c>
      <c r="F52" s="24">
        <v>0</v>
      </c>
      <c r="G52" s="24"/>
      <c r="H52" s="24">
        <v>0</v>
      </c>
      <c r="I52" s="24">
        <v>0</v>
      </c>
    </row>
    <row r="53" spans="1:9" ht="36" customHeight="1">
      <c r="A53" s="45" t="s">
        <v>302</v>
      </c>
      <c r="B53" s="44">
        <f t="shared" si="0"/>
        <v>91688</v>
      </c>
      <c r="C53" s="24">
        <v>0</v>
      </c>
      <c r="D53" s="24">
        <v>26083</v>
      </c>
      <c r="E53" s="24">
        <v>0</v>
      </c>
      <c r="F53" s="24">
        <f>39669+F54</f>
        <v>65605</v>
      </c>
      <c r="G53" s="24"/>
      <c r="H53" s="24">
        <v>0</v>
      </c>
      <c r="I53" s="24">
        <v>0</v>
      </c>
    </row>
    <row r="54" spans="1:9" ht="19.5" customHeight="1">
      <c r="A54" s="119" t="s">
        <v>391</v>
      </c>
      <c r="B54" s="44">
        <f t="shared" si="0"/>
        <v>25936</v>
      </c>
      <c r="C54" s="24"/>
      <c r="D54" s="24"/>
      <c r="E54" s="24"/>
      <c r="F54" s="24">
        <v>25936</v>
      </c>
      <c r="G54" s="24"/>
      <c r="H54" s="24"/>
      <c r="I54" s="24"/>
    </row>
    <row r="55" spans="1:9" ht="60.6" customHeight="1">
      <c r="A55" s="46" t="s">
        <v>157</v>
      </c>
      <c r="B55" s="44">
        <f t="shared" si="0"/>
        <v>21984</v>
      </c>
      <c r="C55" s="24">
        <v>7917</v>
      </c>
      <c r="D55" s="24">
        <v>200</v>
      </c>
      <c r="E55" s="24"/>
      <c r="F55" s="24"/>
      <c r="G55" s="24">
        <v>13867</v>
      </c>
      <c r="H55" s="24"/>
      <c r="I55" s="24"/>
    </row>
    <row r="56" spans="1:9" s="67" customFormat="1" ht="24.75" customHeight="1">
      <c r="A56" s="65" t="s">
        <v>392</v>
      </c>
      <c r="B56" s="66">
        <f t="shared" si="0"/>
        <v>92506</v>
      </c>
      <c r="C56" s="38">
        <f>3799+C57</f>
        <v>85590</v>
      </c>
      <c r="D56" s="38">
        <f>316+D57</f>
        <v>6916</v>
      </c>
      <c r="E56" s="38"/>
      <c r="F56" s="38"/>
      <c r="G56" s="38"/>
      <c r="H56" s="38"/>
      <c r="I56" s="38"/>
    </row>
    <row r="57" spans="1:9" s="67" customFormat="1" ht="24.75" customHeight="1">
      <c r="A57" s="119" t="s">
        <v>391</v>
      </c>
      <c r="B57" s="120">
        <f t="shared" si="0"/>
        <v>88391</v>
      </c>
      <c r="C57" s="68">
        <v>81791</v>
      </c>
      <c r="D57" s="68">
        <v>6600</v>
      </c>
      <c r="E57" s="38"/>
      <c r="F57" s="38"/>
      <c r="G57" s="38"/>
      <c r="H57" s="38"/>
      <c r="I57" s="38"/>
    </row>
    <row r="58" spans="1:9" ht="29.25" customHeight="1">
      <c r="A58" s="45" t="s">
        <v>15</v>
      </c>
      <c r="B58" s="44">
        <f t="shared" si="0"/>
        <v>93430</v>
      </c>
      <c r="C58" s="24">
        <f>57104+17875</f>
        <v>74979</v>
      </c>
      <c r="D58" s="24">
        <v>18451</v>
      </c>
      <c r="E58" s="24">
        <v>0</v>
      </c>
      <c r="F58" s="24">
        <v>0</v>
      </c>
      <c r="G58" s="24"/>
      <c r="H58" s="24">
        <v>0</v>
      </c>
      <c r="I58" s="24">
        <v>0</v>
      </c>
    </row>
    <row r="59" spans="1:9" ht="15" customHeight="1">
      <c r="A59" s="45" t="s">
        <v>16</v>
      </c>
      <c r="B59" s="44">
        <f t="shared" si="0"/>
        <v>174797</v>
      </c>
      <c r="C59" s="24">
        <f>120003+36054</f>
        <v>156057</v>
      </c>
      <c r="D59" s="24">
        <f>18740</f>
        <v>18740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</row>
    <row r="60" spans="1:9" ht="15">
      <c r="A60" s="47" t="s">
        <v>113</v>
      </c>
      <c r="B60" s="44">
        <f t="shared" si="0"/>
        <v>51237</v>
      </c>
      <c r="C60" s="24">
        <f>37269+11358</f>
        <v>48627</v>
      </c>
      <c r="D60" s="24">
        <f>1980+630</f>
        <v>2610</v>
      </c>
      <c r="E60" s="24"/>
      <c r="F60" s="24"/>
      <c r="G60" s="24"/>
      <c r="H60" s="24"/>
      <c r="I60" s="24"/>
    </row>
    <row r="61" spans="1:9" ht="31.5" customHeight="1">
      <c r="A61" s="45" t="s">
        <v>17</v>
      </c>
      <c r="B61" s="44">
        <f t="shared" si="0"/>
        <v>81918</v>
      </c>
      <c r="C61" s="24">
        <f>55503+17285</f>
        <v>72788</v>
      </c>
      <c r="D61" s="24">
        <f>370+1760+6970+30</f>
        <v>9130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</row>
    <row r="62" spans="1:9" ht="15" customHeight="1">
      <c r="A62" s="45" t="s">
        <v>18</v>
      </c>
      <c r="B62" s="44">
        <f t="shared" si="0"/>
        <v>111852</v>
      </c>
      <c r="C62" s="24">
        <v>0</v>
      </c>
      <c r="D62" s="24">
        <f>70000+D63</f>
        <v>111852</v>
      </c>
      <c r="E62" s="24">
        <v>0</v>
      </c>
      <c r="F62" s="24">
        <v>0</v>
      </c>
      <c r="G62" s="24"/>
      <c r="H62" s="24">
        <v>0</v>
      </c>
      <c r="I62" s="24">
        <v>0</v>
      </c>
    </row>
    <row r="63" spans="1:9" ht="17.25" customHeight="1">
      <c r="A63" s="119" t="s">
        <v>391</v>
      </c>
      <c r="B63" s="44">
        <f t="shared" si="0"/>
        <v>41852</v>
      </c>
      <c r="C63" s="24"/>
      <c r="D63" s="24">
        <v>41852</v>
      </c>
      <c r="E63" s="24"/>
      <c r="F63" s="24"/>
      <c r="G63" s="24"/>
      <c r="H63" s="24"/>
      <c r="I63" s="24"/>
    </row>
    <row r="64" spans="1:9" ht="33" customHeight="1">
      <c r="A64" s="45" t="s">
        <v>124</v>
      </c>
      <c r="B64" s="44">
        <f t="shared" si="0"/>
        <v>3176</v>
      </c>
      <c r="C64" s="24">
        <v>0</v>
      </c>
      <c r="D64" s="24">
        <v>0</v>
      </c>
      <c r="E64" s="24">
        <v>0</v>
      </c>
      <c r="F64" s="24">
        <v>0</v>
      </c>
      <c r="G64" s="24"/>
      <c r="H64" s="24">
        <v>0</v>
      </c>
      <c r="I64" s="24">
        <v>3176</v>
      </c>
    </row>
    <row r="65" spans="1:9" ht="28.5" customHeight="1">
      <c r="A65" s="45" t="s">
        <v>127</v>
      </c>
      <c r="B65" s="44">
        <f t="shared" si="0"/>
        <v>141925</v>
      </c>
      <c r="C65" s="24">
        <v>77655</v>
      </c>
      <c r="D65" s="24">
        <f>64270+D66</f>
        <v>54656</v>
      </c>
      <c r="E65" s="24">
        <v>0</v>
      </c>
      <c r="F65" s="24">
        <v>0</v>
      </c>
      <c r="G65" s="24">
        <f>G66</f>
        <v>9614</v>
      </c>
      <c r="H65" s="24">
        <v>0</v>
      </c>
      <c r="I65" s="24">
        <v>0</v>
      </c>
    </row>
    <row r="66" spans="1:9" ht="28.5" customHeight="1">
      <c r="A66" s="60" t="s">
        <v>391</v>
      </c>
      <c r="B66" s="44">
        <f t="shared" si="0"/>
        <v>0</v>
      </c>
      <c r="C66" s="24"/>
      <c r="D66" s="24">
        <v>-9614</v>
      </c>
      <c r="E66" s="24"/>
      <c r="F66" s="24"/>
      <c r="G66" s="24">
        <v>9614</v>
      </c>
      <c r="H66" s="24"/>
      <c r="I66" s="24"/>
    </row>
    <row r="67" spans="1:9" ht="34.5" customHeight="1">
      <c r="A67" s="48" t="s">
        <v>175</v>
      </c>
      <c r="B67" s="44">
        <f t="shared" si="0"/>
        <v>3525</v>
      </c>
      <c r="C67" s="24">
        <v>0</v>
      </c>
      <c r="D67" s="24">
        <v>3525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</row>
    <row r="68" spans="1:9" s="29" customFormat="1" ht="30.75" customHeight="1">
      <c r="A68" s="48" t="s">
        <v>312</v>
      </c>
      <c r="B68" s="44">
        <f t="shared" si="0"/>
        <v>50000</v>
      </c>
      <c r="C68" s="24"/>
      <c r="D68" s="24"/>
      <c r="E68" s="24">
        <v>50000</v>
      </c>
      <c r="F68" s="24"/>
      <c r="G68" s="24"/>
      <c r="H68" s="24"/>
      <c r="I68" s="24"/>
    </row>
    <row r="69" spans="1:9" ht="31.5" customHeight="1">
      <c r="A69" s="49" t="s">
        <v>294</v>
      </c>
      <c r="B69" s="44">
        <f t="shared" si="0"/>
        <v>154863</v>
      </c>
      <c r="C69" s="32"/>
      <c r="D69" s="33"/>
      <c r="E69" s="32"/>
      <c r="F69" s="24"/>
      <c r="G69" s="33">
        <v>154863</v>
      </c>
      <c r="H69" s="32"/>
      <c r="I69" s="32"/>
    </row>
    <row r="70" spans="1:9" ht="31.5" customHeight="1">
      <c r="A70" s="47" t="s">
        <v>132</v>
      </c>
      <c r="B70" s="44">
        <f t="shared" si="0"/>
        <v>83456</v>
      </c>
      <c r="C70" s="24">
        <v>0</v>
      </c>
      <c r="D70" s="24">
        <v>83456</v>
      </c>
      <c r="E70" s="24">
        <v>0</v>
      </c>
      <c r="F70" s="24">
        <v>0</v>
      </c>
      <c r="G70" s="24"/>
      <c r="H70" s="24">
        <v>0</v>
      </c>
      <c r="I70" s="24">
        <v>0</v>
      </c>
    </row>
    <row r="71" spans="1:9" ht="31.5" customHeight="1">
      <c r="A71" s="47" t="s">
        <v>361</v>
      </c>
      <c r="B71" s="44">
        <f t="shared" si="0"/>
        <v>87678</v>
      </c>
      <c r="C71" s="24"/>
      <c r="D71" s="24">
        <v>87678</v>
      </c>
      <c r="E71" s="24"/>
      <c r="F71" s="24"/>
      <c r="G71" s="24"/>
      <c r="H71" s="24"/>
      <c r="I71" s="24"/>
    </row>
    <row r="72" spans="1:9" ht="31.5" customHeight="1">
      <c r="A72" s="47" t="s">
        <v>133</v>
      </c>
      <c r="B72" s="44">
        <f t="shared" si="0"/>
        <v>41204</v>
      </c>
      <c r="C72" s="24">
        <v>0</v>
      </c>
      <c r="D72" s="24">
        <v>41204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</row>
    <row r="73" spans="1:9" ht="27" customHeight="1">
      <c r="A73" s="47" t="s">
        <v>134</v>
      </c>
      <c r="B73" s="44">
        <f t="shared" si="0"/>
        <v>23926</v>
      </c>
      <c r="C73" s="24">
        <v>0</v>
      </c>
      <c r="D73" s="24">
        <v>23926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</row>
    <row r="74" spans="1:9" ht="30.75" customHeight="1">
      <c r="A74" s="47" t="s">
        <v>135</v>
      </c>
      <c r="B74" s="44">
        <f t="shared" si="0"/>
        <v>62419</v>
      </c>
      <c r="C74" s="24">
        <v>0</v>
      </c>
      <c r="D74" s="24">
        <v>50170</v>
      </c>
      <c r="E74" s="24">
        <v>0</v>
      </c>
      <c r="F74" s="24">
        <v>0</v>
      </c>
      <c r="G74" s="24">
        <v>12249</v>
      </c>
      <c r="H74" s="24">
        <v>0</v>
      </c>
      <c r="I74" s="24">
        <v>0</v>
      </c>
    </row>
    <row r="75" spans="1:9" ht="39" customHeight="1">
      <c r="A75" s="47" t="s">
        <v>136</v>
      </c>
      <c r="B75" s="44">
        <f t="shared" si="0"/>
        <v>62731</v>
      </c>
      <c r="C75" s="24">
        <v>0</v>
      </c>
      <c r="D75" s="24">
        <v>62731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</row>
    <row r="76" spans="1:9" ht="32.25" customHeight="1">
      <c r="A76" s="47" t="s">
        <v>137</v>
      </c>
      <c r="B76" s="44">
        <f t="shared" si="0"/>
        <v>27373</v>
      </c>
      <c r="C76" s="24">
        <v>0</v>
      </c>
      <c r="D76" s="24">
        <v>27373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</row>
    <row r="77" spans="1:9" ht="33.75" customHeight="1">
      <c r="A77" s="47" t="s">
        <v>138</v>
      </c>
      <c r="B77" s="44">
        <f t="shared" si="0"/>
        <v>41170</v>
      </c>
      <c r="C77" s="24">
        <v>0</v>
      </c>
      <c r="D77" s="24">
        <v>41170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</row>
    <row r="78" spans="1:9" ht="33.75" customHeight="1">
      <c r="A78" s="47" t="s">
        <v>359</v>
      </c>
      <c r="B78" s="44">
        <f t="shared" si="0"/>
        <v>21915</v>
      </c>
      <c r="C78" s="24">
        <f>6000+1415</f>
        <v>7415</v>
      </c>
      <c r="D78" s="24">
        <f>6000+3200+300</f>
        <v>9500</v>
      </c>
      <c r="E78" s="24"/>
      <c r="F78" s="24"/>
      <c r="G78" s="24">
        <v>5000</v>
      </c>
      <c r="H78" s="24"/>
      <c r="I78" s="24"/>
    </row>
    <row r="79" spans="1:9" ht="31.5" customHeight="1">
      <c r="A79" s="47" t="s">
        <v>139</v>
      </c>
      <c r="B79" s="44">
        <f t="shared" si="0"/>
        <v>13655</v>
      </c>
      <c r="C79" s="24">
        <v>0</v>
      </c>
      <c r="D79" s="24">
        <v>13655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</row>
    <row r="80" spans="1:9" ht="31.5" customHeight="1">
      <c r="A80" s="47" t="s">
        <v>357</v>
      </c>
      <c r="B80" s="44">
        <f t="shared" si="0"/>
        <v>61177</v>
      </c>
      <c r="C80" s="24"/>
      <c r="D80" s="24">
        <v>33177</v>
      </c>
      <c r="E80" s="24"/>
      <c r="F80" s="24"/>
      <c r="G80" s="24">
        <v>28000</v>
      </c>
      <c r="H80" s="24"/>
      <c r="I80" s="24"/>
    </row>
    <row r="81" spans="1:9" ht="31.5" customHeight="1">
      <c r="A81" s="47" t="s">
        <v>358</v>
      </c>
      <c r="B81" s="44">
        <f t="shared" si="0"/>
        <v>32050</v>
      </c>
      <c r="C81" s="24"/>
      <c r="D81" s="24">
        <v>32050</v>
      </c>
      <c r="E81" s="24"/>
      <c r="F81" s="24"/>
      <c r="G81" s="24"/>
      <c r="H81" s="24"/>
      <c r="I81" s="24"/>
    </row>
    <row r="82" spans="1:9" ht="31.5" customHeight="1">
      <c r="A82" s="47" t="s">
        <v>360</v>
      </c>
      <c r="B82" s="44">
        <f t="shared" si="0"/>
        <v>195582</v>
      </c>
      <c r="C82" s="24"/>
      <c r="D82" s="24">
        <f>32834+3600</f>
        <v>36434</v>
      </c>
      <c r="E82" s="24"/>
      <c r="F82" s="24"/>
      <c r="G82" s="24">
        <f>162748-3600</f>
        <v>159148</v>
      </c>
      <c r="H82" s="24"/>
      <c r="I82" s="24"/>
    </row>
    <row r="83" spans="1:9" ht="30" customHeight="1">
      <c r="A83" s="47" t="s">
        <v>140</v>
      </c>
      <c r="B83" s="44">
        <f t="shared" si="0"/>
        <v>49092</v>
      </c>
      <c r="C83" s="24">
        <v>0</v>
      </c>
      <c r="D83" s="24">
        <v>49092</v>
      </c>
      <c r="E83" s="24">
        <v>0</v>
      </c>
      <c r="F83" s="24"/>
      <c r="G83" s="24">
        <v>0</v>
      </c>
      <c r="H83" s="24">
        <v>0</v>
      </c>
      <c r="I83" s="24">
        <v>0</v>
      </c>
    </row>
    <row r="84" spans="1:9" ht="30" customHeight="1">
      <c r="A84" s="47" t="s">
        <v>362</v>
      </c>
      <c r="B84" s="44">
        <f t="shared" si="0"/>
        <v>31047</v>
      </c>
      <c r="C84" s="24">
        <f>5500+1297</f>
        <v>6797</v>
      </c>
      <c r="D84" s="24">
        <v>12250</v>
      </c>
      <c r="E84" s="24"/>
      <c r="F84" s="24"/>
      <c r="G84" s="24">
        <v>12000</v>
      </c>
      <c r="H84" s="24"/>
      <c r="I84" s="24"/>
    </row>
    <row r="85" spans="1:9" ht="30" customHeight="1">
      <c r="A85" s="47" t="s">
        <v>363</v>
      </c>
      <c r="B85" s="44">
        <f t="shared" si="0"/>
        <v>45670</v>
      </c>
      <c r="C85" s="24"/>
      <c r="D85" s="24">
        <v>40670</v>
      </c>
      <c r="E85" s="24"/>
      <c r="F85" s="24"/>
      <c r="G85" s="24">
        <v>5000</v>
      </c>
      <c r="H85" s="24"/>
      <c r="I85" s="24"/>
    </row>
    <row r="86" spans="1:9" ht="28.5" customHeight="1">
      <c r="A86" s="47" t="s">
        <v>141</v>
      </c>
      <c r="B86" s="44">
        <f t="shared" si="0"/>
        <v>20193</v>
      </c>
      <c r="C86" s="24">
        <v>0</v>
      </c>
      <c r="D86" s="24">
        <v>20193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</row>
    <row r="87" spans="1:9" ht="28.5" customHeight="1">
      <c r="A87" s="47" t="s">
        <v>366</v>
      </c>
      <c r="B87" s="44">
        <f t="shared" si="0"/>
        <v>20597</v>
      </c>
      <c r="C87" s="24">
        <f>5500+1297</f>
        <v>6797</v>
      </c>
      <c r="D87" s="24">
        <f>300+6500+5000+2000</f>
        <v>13800</v>
      </c>
      <c r="E87" s="24"/>
      <c r="F87" s="24"/>
      <c r="G87" s="24"/>
      <c r="H87" s="24"/>
      <c r="I87" s="24"/>
    </row>
    <row r="88" spans="1:9" ht="30" customHeight="1">
      <c r="A88" s="47" t="s">
        <v>142</v>
      </c>
      <c r="B88" s="44">
        <f t="shared" si="0"/>
        <v>30417</v>
      </c>
      <c r="C88" s="24">
        <v>0</v>
      </c>
      <c r="D88" s="24">
        <v>30417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</row>
    <row r="89" spans="1:9" ht="30" customHeight="1">
      <c r="A89" s="47" t="s">
        <v>364</v>
      </c>
      <c r="B89" s="44">
        <f t="shared" si="0"/>
        <v>17400</v>
      </c>
      <c r="C89" s="24"/>
      <c r="D89" s="24">
        <f>200+12000+2000+2500+700</f>
        <v>17400</v>
      </c>
      <c r="E89" s="24"/>
      <c r="F89" s="24"/>
      <c r="G89" s="24"/>
      <c r="H89" s="24"/>
      <c r="I89" s="24"/>
    </row>
    <row r="90" spans="1:9" ht="30" customHeight="1">
      <c r="A90" s="47" t="s">
        <v>365</v>
      </c>
      <c r="B90" s="44">
        <f t="shared" si="0"/>
        <v>132860</v>
      </c>
      <c r="C90" s="24">
        <f>11500+2713</f>
        <v>14213</v>
      </c>
      <c r="D90" s="24">
        <f>200+5000+24000+2000</f>
        <v>31200</v>
      </c>
      <c r="E90" s="24"/>
      <c r="F90" s="24"/>
      <c r="G90" s="24">
        <v>87447</v>
      </c>
      <c r="H90" s="24"/>
      <c r="I90" s="24"/>
    </row>
    <row r="91" spans="1:9" ht="30" customHeight="1">
      <c r="A91" s="43" t="s">
        <v>218</v>
      </c>
      <c r="B91" s="44">
        <f t="shared" si="0"/>
        <v>208997</v>
      </c>
      <c r="C91" s="24">
        <v>1800</v>
      </c>
      <c r="D91" s="24">
        <v>780</v>
      </c>
      <c r="E91" s="24"/>
      <c r="F91" s="24"/>
      <c r="G91" s="24"/>
      <c r="H91" s="24">
        <v>203000</v>
      </c>
      <c r="I91" s="24">
        <v>3417</v>
      </c>
    </row>
    <row r="92" spans="1:9" ht="30.6" customHeight="1">
      <c r="A92" s="43" t="s">
        <v>371</v>
      </c>
      <c r="B92" s="44">
        <f t="shared" si="2" ref="B92:B148">=SUM(C92:I92)</f>
        <v>19646</v>
      </c>
      <c r="C92" s="24">
        <v>0</v>
      </c>
      <c r="D92" s="24">
        <v>19646</v>
      </c>
      <c r="E92" s="24"/>
      <c r="F92" s="24"/>
      <c r="G92" s="24">
        <v>0</v>
      </c>
      <c r="H92" s="24"/>
      <c r="I92" s="24"/>
    </row>
    <row r="93" spans="1:9" ht="30.6" customHeight="1">
      <c r="A93" s="43" t="s">
        <v>372</v>
      </c>
      <c r="B93" s="44">
        <f t="shared" si="2"/>
        <v>13168</v>
      </c>
      <c r="C93" s="24"/>
      <c r="D93" s="24">
        <v>13168</v>
      </c>
      <c r="E93" s="24"/>
      <c r="F93" s="24"/>
      <c r="G93" s="24"/>
      <c r="H93" s="24"/>
      <c r="I93" s="24"/>
    </row>
    <row r="94" spans="1:9" ht="30" customHeight="1">
      <c r="A94" s="43" t="s">
        <v>220</v>
      </c>
      <c r="B94" s="44">
        <f t="shared" si="2"/>
        <v>22060</v>
      </c>
      <c r="C94" s="24">
        <f>13164+3785</f>
        <v>16949</v>
      </c>
      <c r="D94" s="24">
        <f>4011+1100</f>
        <v>5111</v>
      </c>
      <c r="E94" s="24"/>
      <c r="F94" s="24"/>
      <c r="G94" s="24"/>
      <c r="H94" s="24"/>
      <c r="I94" s="24"/>
    </row>
    <row r="95" spans="1:9" ht="36.6" customHeight="1">
      <c r="A95" s="43" t="s">
        <v>219</v>
      </c>
      <c r="B95" s="44">
        <f t="shared" si="2"/>
        <v>31011</v>
      </c>
      <c r="C95" s="24">
        <v>6766</v>
      </c>
      <c r="D95" s="24">
        <v>9019</v>
      </c>
      <c r="E95" s="24"/>
      <c r="F95" s="24"/>
      <c r="G95" s="24">
        <v>15226</v>
      </c>
      <c r="H95" s="24"/>
      <c r="I95" s="24">
        <v>0</v>
      </c>
    </row>
    <row r="96" spans="1:9" ht="43.5" customHeight="1">
      <c r="A96" s="47" t="s">
        <v>291</v>
      </c>
      <c r="B96" s="44">
        <f t="shared" si="2"/>
        <v>120377</v>
      </c>
      <c r="C96" s="24">
        <v>0</v>
      </c>
      <c r="D96" s="24">
        <v>0</v>
      </c>
      <c r="E96" s="24">
        <v>0</v>
      </c>
      <c r="F96" s="24">
        <v>0</v>
      </c>
      <c r="G96" s="24">
        <v>120377</v>
      </c>
      <c r="H96" s="24">
        <v>0</v>
      </c>
      <c r="I96" s="24">
        <v>0</v>
      </c>
    </row>
    <row r="97" spans="1:9" ht="52.15" customHeight="1">
      <c r="A97" s="45" t="s">
        <v>293</v>
      </c>
      <c r="B97" s="44">
        <f t="shared" si="2"/>
        <v>259710</v>
      </c>
      <c r="C97" s="24">
        <v>0</v>
      </c>
      <c r="D97" s="24">
        <v>0</v>
      </c>
      <c r="E97" s="24">
        <v>0</v>
      </c>
      <c r="F97" s="24">
        <v>0</v>
      </c>
      <c r="G97" s="24">
        <v>259710</v>
      </c>
      <c r="H97" s="24">
        <v>0</v>
      </c>
      <c r="I97" s="24">
        <v>0</v>
      </c>
    </row>
    <row r="98" spans="1:9" ht="40.9" customHeight="1">
      <c r="A98" s="48" t="s">
        <v>274</v>
      </c>
      <c r="B98" s="44">
        <f t="shared" si="2"/>
        <v>6972</v>
      </c>
      <c r="C98" s="24"/>
      <c r="D98" s="24">
        <v>6972</v>
      </c>
      <c r="E98" s="24"/>
      <c r="F98" s="24"/>
      <c r="G98" s="24"/>
      <c r="H98" s="24"/>
      <c r="I98" s="24"/>
    </row>
    <row r="99" spans="1:9" ht="34.5" customHeight="1">
      <c r="A99" s="45" t="s">
        <v>155</v>
      </c>
      <c r="B99" s="44">
        <f t="shared" si="2"/>
        <v>228303</v>
      </c>
      <c r="C99" s="24"/>
      <c r="D99" s="24">
        <v>3331</v>
      </c>
      <c r="E99" s="24">
        <v>0</v>
      </c>
      <c r="F99" s="24"/>
      <c r="G99" s="24">
        <v>224972</v>
      </c>
      <c r="H99" s="24"/>
      <c r="I99" s="24"/>
    </row>
    <row r="100" spans="1:9" ht="45" customHeight="1">
      <c r="A100" s="45" t="s">
        <v>145</v>
      </c>
      <c r="B100" s="44">
        <f t="shared" si="2"/>
        <v>70917</v>
      </c>
      <c r="C100" s="24">
        <v>0</v>
      </c>
      <c r="D100" s="24">
        <v>30080</v>
      </c>
      <c r="E100" s="24">
        <v>0</v>
      </c>
      <c r="F100" s="24">
        <v>0</v>
      </c>
      <c r="G100" s="24">
        <v>40837</v>
      </c>
      <c r="H100" s="24">
        <v>0</v>
      </c>
      <c r="I100" s="24">
        <v>0</v>
      </c>
    </row>
    <row r="101" spans="1:9" ht="35.45" customHeight="1">
      <c r="A101" s="47" t="s">
        <v>305</v>
      </c>
      <c r="B101" s="44">
        <f t="shared" si="2"/>
        <v>713</v>
      </c>
      <c r="C101" s="24">
        <v>0</v>
      </c>
      <c r="D101" s="24">
        <v>713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</row>
    <row r="102" spans="1:9" ht="30" customHeight="1">
      <c r="A102" s="43" t="s">
        <v>221</v>
      </c>
      <c r="B102" s="44">
        <f t="shared" si="2"/>
        <v>9222</v>
      </c>
      <c r="C102" s="24">
        <v>0</v>
      </c>
      <c r="D102" s="24">
        <v>9222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</row>
    <row r="103" spans="1:9" ht="35.25" customHeight="1">
      <c r="A103" s="47" t="s">
        <v>222</v>
      </c>
      <c r="B103" s="44">
        <f t="shared" si="2"/>
        <v>20479</v>
      </c>
      <c r="C103" s="24">
        <v>11788</v>
      </c>
      <c r="D103" s="24">
        <v>8691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</row>
    <row r="104" spans="1:9" ht="36.75" customHeight="1">
      <c r="A104" s="47" t="s">
        <v>223</v>
      </c>
      <c r="B104" s="44">
        <f t="shared" si="2"/>
        <v>7002</v>
      </c>
      <c r="C104" s="24">
        <v>0</v>
      </c>
      <c r="D104" s="24">
        <f>3696+3306</f>
        <v>7002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</row>
    <row r="105" spans="1:9" ht="38.25" customHeight="1">
      <c r="A105" s="47" t="s">
        <v>224</v>
      </c>
      <c r="B105" s="44">
        <f t="shared" si="2"/>
        <v>12156</v>
      </c>
      <c r="C105" s="24">
        <v>0</v>
      </c>
      <c r="D105" s="24">
        <f>8858+D106</f>
        <v>12156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</row>
    <row r="106" spans="1:9" ht="38.25" customHeight="1">
      <c r="A106" s="77" t="s">
        <v>391</v>
      </c>
      <c r="B106" s="59">
        <f t="shared" si="2"/>
        <v>3298</v>
      </c>
      <c r="C106" s="24"/>
      <c r="D106" s="24">
        <v>3298</v>
      </c>
      <c r="E106" s="24"/>
      <c r="F106" s="24"/>
      <c r="G106" s="24"/>
      <c r="H106" s="24"/>
      <c r="I106" s="24"/>
    </row>
    <row r="107" spans="1:9" ht="34.5" customHeight="1">
      <c r="A107" s="48" t="s">
        <v>231</v>
      </c>
      <c r="B107" s="44">
        <f t="shared" si="2"/>
        <v>8266</v>
      </c>
      <c r="C107" s="24">
        <v>0</v>
      </c>
      <c r="D107" s="24">
        <v>8266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</row>
    <row r="108" spans="1:9" ht="48.75" customHeight="1">
      <c r="A108" s="48" t="s">
        <v>230</v>
      </c>
      <c r="B108" s="44">
        <f t="shared" si="2"/>
        <v>4034</v>
      </c>
      <c r="C108" s="24">
        <v>0</v>
      </c>
      <c r="D108" s="24">
        <v>4034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</row>
    <row r="109" spans="1:9" ht="48" customHeight="1">
      <c r="A109" s="48" t="s">
        <v>229</v>
      </c>
      <c r="B109" s="44">
        <f t="shared" si="2"/>
        <v>3385</v>
      </c>
      <c r="C109" s="25">
        <v>0</v>
      </c>
      <c r="D109" s="25">
        <v>3385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</row>
    <row r="110" spans="1:9" ht="51" customHeight="1">
      <c r="A110" s="48" t="s">
        <v>228</v>
      </c>
      <c r="B110" s="44">
        <f t="shared" si="2"/>
        <v>1740</v>
      </c>
      <c r="C110" s="24">
        <v>0</v>
      </c>
      <c r="D110" s="24">
        <v>1740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</row>
    <row r="111" spans="1:9" ht="45.75" customHeight="1">
      <c r="A111" s="48" t="s">
        <v>227</v>
      </c>
      <c r="B111" s="44">
        <f t="shared" si="2"/>
        <v>690</v>
      </c>
      <c r="C111" s="24">
        <v>0</v>
      </c>
      <c r="D111" s="24">
        <v>690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</row>
    <row r="112" spans="1:9" ht="43.5" customHeight="1">
      <c r="A112" s="48" t="s">
        <v>226</v>
      </c>
      <c r="B112" s="44">
        <f t="shared" si="2"/>
        <v>6786</v>
      </c>
      <c r="C112" s="24">
        <v>0</v>
      </c>
      <c r="D112" s="24">
        <v>6786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</row>
    <row r="113" spans="1:9" ht="46.5" customHeight="1">
      <c r="A113" s="48" t="s">
        <v>350</v>
      </c>
      <c r="B113" s="44">
        <f t="shared" si="2"/>
        <v>18424</v>
      </c>
      <c r="C113" s="24">
        <v>0</v>
      </c>
      <c r="D113" s="24">
        <v>18424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</row>
    <row r="114" spans="1:9" ht="43.5" customHeight="1">
      <c r="A114" s="48" t="s">
        <v>225</v>
      </c>
      <c r="B114" s="44">
        <f t="shared" si="2"/>
        <v>3510</v>
      </c>
      <c r="C114" s="24">
        <v>0</v>
      </c>
      <c r="D114" s="24">
        <v>3510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</row>
    <row r="115" spans="1:9" ht="23.45" customHeight="1">
      <c r="A115" s="45" t="s">
        <v>19</v>
      </c>
      <c r="B115" s="44">
        <f t="shared" si="2"/>
        <v>158563</v>
      </c>
      <c r="C115" s="24">
        <v>0</v>
      </c>
      <c r="D115" s="24">
        <f>129416+D116</f>
        <v>120982</v>
      </c>
      <c r="E115" s="24">
        <v>0</v>
      </c>
      <c r="F115" s="24">
        <v>0</v>
      </c>
      <c r="G115" s="24">
        <f>29147+G116</f>
        <v>37581</v>
      </c>
      <c r="H115" s="24">
        <v>0</v>
      </c>
      <c r="I115" s="24">
        <v>0</v>
      </c>
    </row>
    <row r="116" spans="1:9" ht="23.45" customHeight="1">
      <c r="A116" s="60" t="s">
        <v>391</v>
      </c>
      <c r="B116" s="44">
        <f t="shared" si="2"/>
        <v>0</v>
      </c>
      <c r="C116" s="24"/>
      <c r="D116" s="24">
        <v>-8434</v>
      </c>
      <c r="E116" s="24"/>
      <c r="F116" s="24"/>
      <c r="G116" s="24">
        <v>8434</v>
      </c>
      <c r="H116" s="24"/>
      <c r="I116" s="24"/>
    </row>
    <row r="117" spans="1:9" ht="32.25" customHeight="1">
      <c r="A117" s="45" t="s">
        <v>311</v>
      </c>
      <c r="B117" s="44">
        <f t="shared" si="2"/>
        <v>109280</v>
      </c>
      <c r="C117" s="24">
        <v>0</v>
      </c>
      <c r="D117" s="24">
        <f>101280+D118</f>
        <v>96280</v>
      </c>
      <c r="E117" s="24">
        <v>0</v>
      </c>
      <c r="F117" s="24">
        <v>0</v>
      </c>
      <c r="G117" s="24">
        <f>8000+G118</f>
        <v>13000</v>
      </c>
      <c r="H117" s="24">
        <v>0</v>
      </c>
      <c r="I117" s="24">
        <v>0</v>
      </c>
    </row>
    <row r="118" spans="1:9" ht="32.25" customHeight="1">
      <c r="A118" s="60" t="s">
        <v>391</v>
      </c>
      <c r="B118" s="44">
        <f t="shared" si="2"/>
        <v>0</v>
      </c>
      <c r="C118" s="24"/>
      <c r="D118" s="24">
        <v>-5000</v>
      </c>
      <c r="E118" s="24"/>
      <c r="F118" s="24"/>
      <c r="G118" s="24">
        <v>5000</v>
      </c>
      <c r="H118" s="24"/>
      <c r="I118" s="24"/>
    </row>
    <row r="119" spans="1:9" ht="32.25" customHeight="1">
      <c r="A119" s="45" t="s">
        <v>319</v>
      </c>
      <c r="B119" s="44">
        <f t="shared" si="2"/>
        <v>299025</v>
      </c>
      <c r="C119" s="24"/>
      <c r="D119" s="24">
        <f>39452+D120</f>
        <v>242735</v>
      </c>
      <c r="E119" s="24"/>
      <c r="F119" s="24"/>
      <c r="G119" s="24">
        <v>3040</v>
      </c>
      <c r="H119" s="24">
        <v>53250</v>
      </c>
      <c r="I119" s="24"/>
    </row>
    <row r="120" spans="1:9" ht="32.25" customHeight="1">
      <c r="A120" s="60" t="s">
        <v>391</v>
      </c>
      <c r="B120" s="44">
        <f t="shared" si="2"/>
        <v>203283</v>
      </c>
      <c r="C120" s="24"/>
      <c r="D120" s="24">
        <f>45964+13573+11638+132108</f>
        <v>203283</v>
      </c>
      <c r="E120" s="24"/>
      <c r="F120" s="24"/>
      <c r="G120" s="24"/>
      <c r="H120" s="24"/>
      <c r="I120" s="24"/>
    </row>
    <row r="121" spans="1:9" ht="35.25" customHeight="1">
      <c r="A121" s="45" t="s">
        <v>20</v>
      </c>
      <c r="B121" s="44">
        <f t="shared" si="2"/>
        <v>30009</v>
      </c>
      <c r="C121" s="24">
        <v>24814</v>
      </c>
      <c r="D121" s="24">
        <v>5195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</row>
    <row r="122" spans="1:9" ht="38.25" customHeight="1">
      <c r="A122" s="45" t="s">
        <v>21</v>
      </c>
      <c r="B122" s="44">
        <f t="shared" si="2"/>
        <v>75254</v>
      </c>
      <c r="C122" s="24">
        <v>40135</v>
      </c>
      <c r="D122" s="24">
        <v>35119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</row>
    <row r="123" spans="1:9" ht="31.5" customHeight="1">
      <c r="A123" s="45" t="s">
        <v>22</v>
      </c>
      <c r="B123" s="44">
        <f t="shared" si="2"/>
        <v>46411</v>
      </c>
      <c r="C123" s="24">
        <v>30547</v>
      </c>
      <c r="D123" s="24">
        <f>13969+D124</f>
        <v>14844</v>
      </c>
      <c r="E123" s="24">
        <v>0</v>
      </c>
      <c r="F123" s="24">
        <v>0</v>
      </c>
      <c r="G123" s="24">
        <f>G124</f>
        <v>1020</v>
      </c>
      <c r="H123" s="24">
        <v>0</v>
      </c>
      <c r="I123" s="24">
        <v>0</v>
      </c>
    </row>
    <row r="124" spans="1:9" ht="31.5" customHeight="1">
      <c r="A124" s="60" t="s">
        <v>391</v>
      </c>
      <c r="B124" s="44">
        <f t="shared" si="2"/>
        <v>1895</v>
      </c>
      <c r="C124" s="24"/>
      <c r="D124" s="24">
        <f>875</f>
        <v>875</v>
      </c>
      <c r="E124" s="24"/>
      <c r="F124" s="24"/>
      <c r="G124" s="24">
        <v>1020</v>
      </c>
      <c r="H124" s="24"/>
      <c r="I124" s="24"/>
    </row>
    <row r="125" spans="1:9" ht="31.5" customHeight="1">
      <c r="A125" s="45" t="s">
        <v>23</v>
      </c>
      <c r="B125" s="44">
        <f t="shared" si="2"/>
        <v>61646</v>
      </c>
      <c r="C125" s="24">
        <v>35771</v>
      </c>
      <c r="D125" s="24">
        <v>12937</v>
      </c>
      <c r="E125" s="24">
        <v>0</v>
      </c>
      <c r="F125" s="24">
        <v>0</v>
      </c>
      <c r="G125" s="24">
        <v>12938</v>
      </c>
      <c r="H125" s="24">
        <v>0</v>
      </c>
      <c r="I125" s="24">
        <v>0</v>
      </c>
    </row>
    <row r="126" spans="1:9" ht="29.25" customHeight="1">
      <c r="A126" s="45" t="s">
        <v>24</v>
      </c>
      <c r="B126" s="44">
        <f t="shared" si="2"/>
        <v>114868</v>
      </c>
      <c r="C126" s="24">
        <f>36949+9563</f>
        <v>46512</v>
      </c>
      <c r="D126" s="24">
        <f>24602+D127</f>
        <v>49773</v>
      </c>
      <c r="E126" s="24">
        <v>0</v>
      </c>
      <c r="F126" s="24">
        <v>0</v>
      </c>
      <c r="G126" s="24">
        <v>18583</v>
      </c>
      <c r="H126" s="24">
        <v>0</v>
      </c>
      <c r="I126" s="24">
        <v>0</v>
      </c>
    </row>
    <row r="127" spans="1:9" ht="23.25" customHeight="1">
      <c r="A127" s="60" t="s">
        <v>391</v>
      </c>
      <c r="B127" s="44">
        <f t="shared" si="2"/>
        <v>25171</v>
      </c>
      <c r="C127" s="24"/>
      <c r="D127" s="24">
        <v>25171</v>
      </c>
      <c r="E127" s="24"/>
      <c r="F127" s="24"/>
      <c r="G127" s="24"/>
      <c r="H127" s="24"/>
      <c r="I127" s="24"/>
    </row>
    <row r="128" spans="1:9" ht="33.75" customHeight="1">
      <c r="A128" s="45" t="s">
        <v>25</v>
      </c>
      <c r="B128" s="44">
        <f>SUM(C128:I128)</f>
        <v>91231</v>
      </c>
      <c r="C128" s="24">
        <f>56999+C129</f>
        <v>55999</v>
      </c>
      <c r="D128" s="24">
        <f>20173+D129</f>
        <v>22632</v>
      </c>
      <c r="E128" s="24">
        <v>0</v>
      </c>
      <c r="F128" s="24">
        <v>0</v>
      </c>
      <c r="G128" s="24">
        <f>12500+G129</f>
        <v>12600</v>
      </c>
      <c r="H128" s="24">
        <v>0</v>
      </c>
      <c r="I128" s="24">
        <v>0</v>
      </c>
    </row>
    <row r="129" spans="1:9" ht="22.5" customHeight="1">
      <c r="A129" s="60" t="s">
        <v>391</v>
      </c>
      <c r="B129" s="44">
        <f>SUM(C129:I129)</f>
        <v>1559</v>
      </c>
      <c r="C129" s="24">
        <v>-1000</v>
      </c>
      <c r="D129" s="24">
        <v>2459</v>
      </c>
      <c r="E129" s="24"/>
      <c r="F129" s="24"/>
      <c r="G129" s="24">
        <v>100</v>
      </c>
      <c r="H129" s="24"/>
      <c r="I129" s="24"/>
    </row>
    <row r="130" spans="1:9" ht="30">
      <c r="A130" s="45" t="s">
        <v>26</v>
      </c>
      <c r="B130" s="44">
        <f t="shared" si="2"/>
        <v>54547</v>
      </c>
      <c r="C130" s="24">
        <v>38746</v>
      </c>
      <c r="D130" s="24">
        <v>15801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</row>
    <row r="131" spans="1:9" ht="30">
      <c r="A131" s="45" t="s">
        <v>27</v>
      </c>
      <c r="B131" s="44">
        <f t="shared" si="2"/>
        <v>150350</v>
      </c>
      <c r="C131" s="24">
        <v>80237</v>
      </c>
      <c r="D131" s="24">
        <f>64781+D132</f>
        <v>70113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</row>
    <row r="132" spans="1:9" ht="18.75" customHeight="1">
      <c r="A132" s="60" t="s">
        <v>391</v>
      </c>
      <c r="B132" s="44">
        <f t="shared" si="2"/>
        <v>5332</v>
      </c>
      <c r="C132" s="24"/>
      <c r="D132" s="24">
        <v>5332</v>
      </c>
      <c r="E132" s="24"/>
      <c r="F132" s="24"/>
      <c r="G132" s="24"/>
      <c r="H132" s="24"/>
      <c r="I132" s="24"/>
    </row>
    <row r="133" spans="1:9" ht="30">
      <c r="A133" s="45" t="s">
        <v>28</v>
      </c>
      <c r="B133" s="44">
        <f t="shared" si="2"/>
        <v>42605</v>
      </c>
      <c r="C133" s="24">
        <v>33947</v>
      </c>
      <c r="D133" s="24">
        <v>8658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</row>
    <row r="134" spans="1:9" ht="28.5" customHeight="1">
      <c r="A134" s="45" t="s">
        <v>29</v>
      </c>
      <c r="B134" s="44">
        <f t="shared" si="2"/>
        <v>78040</v>
      </c>
      <c r="C134" s="24">
        <v>49115</v>
      </c>
      <c r="D134" s="24">
        <f>19542+D135</f>
        <v>23192</v>
      </c>
      <c r="E134" s="24">
        <v>0</v>
      </c>
      <c r="F134" s="24">
        <v>0</v>
      </c>
      <c r="G134" s="24">
        <v>5733</v>
      </c>
      <c r="H134" s="24">
        <v>0</v>
      </c>
      <c r="I134" s="24">
        <v>0</v>
      </c>
    </row>
    <row r="135" spans="1:9" ht="17.25" customHeight="1">
      <c r="A135" s="60" t="s">
        <v>391</v>
      </c>
      <c r="B135" s="44">
        <f t="shared" si="2"/>
        <v>3650</v>
      </c>
      <c r="C135" s="24"/>
      <c r="D135" s="24">
        <v>3650</v>
      </c>
      <c r="E135" s="24"/>
      <c r="F135" s="24"/>
      <c r="G135" s="24"/>
      <c r="H135" s="24"/>
      <c r="I135" s="24"/>
    </row>
    <row r="136" spans="1:9" ht="30">
      <c r="A136" s="45" t="s">
        <v>348</v>
      </c>
      <c r="B136" s="44">
        <f>SUM(C136:I136)</f>
        <v>93376</v>
      </c>
      <c r="C136" s="24">
        <v>75605</v>
      </c>
      <c r="D136" s="24">
        <v>17771</v>
      </c>
      <c r="E136" s="24"/>
      <c r="F136" s="24"/>
      <c r="G136" s="24">
        <v>0</v>
      </c>
      <c r="H136" s="24"/>
      <c r="I136" s="24"/>
    </row>
    <row r="137" spans="1:9" ht="15">
      <c r="A137" s="45" t="s">
        <v>30</v>
      </c>
      <c r="B137" s="44">
        <f t="shared" si="2"/>
        <v>1661655</v>
      </c>
      <c r="C137" s="24">
        <v>764903</v>
      </c>
      <c r="D137" s="24">
        <f>772435+90000</f>
        <v>862435</v>
      </c>
      <c r="E137" s="24">
        <v>0</v>
      </c>
      <c r="F137" s="24">
        <v>0</v>
      </c>
      <c r="G137" s="24">
        <v>34317</v>
      </c>
      <c r="H137" s="24">
        <v>0</v>
      </c>
      <c r="I137" s="24">
        <v>0</v>
      </c>
    </row>
    <row r="138" spans="1:9" ht="29.25" customHeight="1">
      <c r="A138" s="130" t="s">
        <v>31</v>
      </c>
      <c r="B138" s="44">
        <f t="shared" si="2"/>
        <v>314936</v>
      </c>
      <c r="C138" s="24">
        <v>190145</v>
      </c>
      <c r="D138" s="24">
        <v>124791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</row>
    <row r="139" spans="1:9" ht="29.25" customHeight="1">
      <c r="A139" s="77" t="s">
        <v>391</v>
      </c>
      <c r="B139" s="44">
        <f t="shared" si="2"/>
        <v>90000</v>
      </c>
      <c r="C139" s="24"/>
      <c r="D139" s="24">
        <v>90000</v>
      </c>
      <c r="E139" s="24"/>
      <c r="F139" s="24"/>
      <c r="G139" s="24"/>
      <c r="H139" s="24"/>
      <c r="I139" s="24"/>
    </row>
    <row r="140" spans="1:9" ht="75">
      <c r="A140" s="45" t="s">
        <v>156</v>
      </c>
      <c r="B140" s="44">
        <f t="shared" si="2"/>
        <v>21594</v>
      </c>
      <c r="C140" s="24">
        <f>401+95</f>
        <v>496</v>
      </c>
      <c r="D140" s="24">
        <f>3379+4864</f>
        <v>8243</v>
      </c>
      <c r="E140" s="24">
        <v>0</v>
      </c>
      <c r="F140" s="24">
        <v>0</v>
      </c>
      <c r="G140" s="24">
        <v>12855</v>
      </c>
      <c r="H140" s="24">
        <v>0</v>
      </c>
      <c r="I140" s="24">
        <v>0</v>
      </c>
    </row>
    <row r="141" spans="1:9" ht="21.75" customHeight="1">
      <c r="A141" s="43" t="s">
        <v>329</v>
      </c>
      <c r="B141" s="44">
        <f t="shared" si="2"/>
        <v>13393</v>
      </c>
      <c r="C141" s="24">
        <v>0</v>
      </c>
      <c r="D141" s="24">
        <v>13393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</row>
    <row r="142" spans="1:9" ht="21.75" customHeight="1">
      <c r="A142" s="43" t="s">
        <v>330</v>
      </c>
      <c r="B142" s="44">
        <f t="shared" si="2"/>
        <v>3030</v>
      </c>
      <c r="C142" s="24"/>
      <c r="D142" s="24">
        <v>3030</v>
      </c>
      <c r="E142" s="24"/>
      <c r="F142" s="24"/>
      <c r="G142" s="24"/>
      <c r="H142" s="24"/>
      <c r="I142" s="24"/>
    </row>
    <row r="143" spans="1:9" ht="26.25" customHeight="1">
      <c r="A143" s="43" t="s">
        <v>351</v>
      </c>
      <c r="B143" s="44">
        <f t="shared" si="2"/>
        <v>4067</v>
      </c>
      <c r="C143" s="24">
        <v>0</v>
      </c>
      <c r="D143" s="24">
        <v>4067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</row>
    <row r="144" spans="1:9" ht="33.75" customHeight="1">
      <c r="A144" s="48" t="s">
        <v>324</v>
      </c>
      <c r="B144" s="44">
        <f t="shared" si="2"/>
        <v>3510</v>
      </c>
      <c r="C144" s="24">
        <v>0</v>
      </c>
      <c r="D144" s="24">
        <v>3510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</row>
    <row r="145" spans="1:9" ht="31.9" customHeight="1">
      <c r="A145" s="48" t="s">
        <v>301</v>
      </c>
      <c r="B145" s="44">
        <f t="shared" si="2"/>
        <v>37453</v>
      </c>
      <c r="C145" s="24"/>
      <c r="D145" s="24">
        <v>37453</v>
      </c>
      <c r="E145" s="24"/>
      <c r="F145" s="24"/>
      <c r="G145" s="24"/>
      <c r="H145" s="24"/>
      <c r="I145" s="24"/>
    </row>
    <row r="146" spans="1:9" ht="27" customHeight="1">
      <c r="A146" s="48" t="s">
        <v>203</v>
      </c>
      <c r="B146" s="44">
        <f t="shared" si="2"/>
        <v>800</v>
      </c>
      <c r="C146" s="24">
        <v>0</v>
      </c>
      <c r="D146" s="24">
        <v>800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</row>
    <row r="147" spans="1:9" ht="15" customHeight="1">
      <c r="A147" s="48" t="s">
        <v>202</v>
      </c>
      <c r="B147" s="44">
        <f t="shared" si="2"/>
        <v>6475</v>
      </c>
      <c r="C147" s="24">
        <v>4335</v>
      </c>
      <c r="D147" s="24">
        <f>2140</f>
        <v>2140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</row>
    <row r="148" spans="1:9" ht="32.25" customHeight="1">
      <c r="A148" s="48" t="s">
        <v>201</v>
      </c>
      <c r="B148" s="44">
        <f t="shared" si="2"/>
        <v>209398</v>
      </c>
      <c r="C148" s="24">
        <v>145021</v>
      </c>
      <c r="D148" s="24">
        <f>56085+2181+3591+2520</f>
        <v>64377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</row>
    <row r="149" spans="1:9" ht="39" customHeight="1">
      <c r="A149" s="48" t="s">
        <v>200</v>
      </c>
      <c r="B149" s="44">
        <f t="shared" si="3" ref="B149:B205">=SUM(C149:I149)</f>
        <v>2315</v>
      </c>
      <c r="C149" s="24">
        <v>0</v>
      </c>
      <c r="D149" s="24">
        <v>2315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</row>
    <row r="150" spans="1:9" ht="25.9" customHeight="1">
      <c r="A150" s="48" t="s">
        <v>199</v>
      </c>
      <c r="B150" s="44">
        <f t="shared" si="3"/>
        <v>52657</v>
      </c>
      <c r="C150" s="24">
        <v>24770</v>
      </c>
      <c r="D150" s="24">
        <v>27887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</row>
    <row r="151" spans="1:9" ht="30" customHeight="1">
      <c r="A151" s="48" t="s">
        <v>198</v>
      </c>
      <c r="B151" s="44">
        <f t="shared" si="3"/>
        <v>9909</v>
      </c>
      <c r="C151" s="24">
        <v>0</v>
      </c>
      <c r="D151" s="24">
        <v>9909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</row>
    <row r="152" spans="1:9" ht="27" customHeight="1">
      <c r="A152" s="48" t="s">
        <v>197</v>
      </c>
      <c r="B152" s="44">
        <f t="shared" si="3"/>
        <v>9155</v>
      </c>
      <c r="C152" s="24">
        <v>0</v>
      </c>
      <c r="D152" s="24">
        <v>9155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</row>
    <row r="153" spans="1:9" ht="33.75" customHeight="1">
      <c r="A153" s="48" t="s">
        <v>196</v>
      </c>
      <c r="B153" s="44">
        <f t="shared" si="3"/>
        <v>12923</v>
      </c>
      <c r="C153" s="24">
        <v>9996</v>
      </c>
      <c r="D153" s="24">
        <v>2927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</row>
    <row r="154" spans="1:9" ht="36" customHeight="1">
      <c r="A154" s="48" t="s">
        <v>195</v>
      </c>
      <c r="B154" s="44">
        <f t="shared" si="3"/>
        <v>23251</v>
      </c>
      <c r="C154" s="24">
        <v>18480</v>
      </c>
      <c r="D154" s="24">
        <v>4771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</row>
    <row r="155" spans="1:9" ht="32.25" customHeight="1">
      <c r="A155" s="48" t="s">
        <v>194</v>
      </c>
      <c r="B155" s="44">
        <f t="shared" si="3"/>
        <v>3970</v>
      </c>
      <c r="C155" s="24">
        <v>0</v>
      </c>
      <c r="D155" s="24">
        <v>3970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</row>
    <row r="156" spans="1:9" ht="29.25" customHeight="1">
      <c r="A156" s="48" t="s">
        <v>193</v>
      </c>
      <c r="B156" s="44">
        <f t="shared" si="3"/>
        <v>13107</v>
      </c>
      <c r="C156" s="24">
        <v>10977</v>
      </c>
      <c r="D156" s="24">
        <v>2130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</row>
    <row r="157" spans="1:9" ht="37.5" customHeight="1">
      <c r="A157" s="48" t="s">
        <v>192</v>
      </c>
      <c r="B157" s="44">
        <f t="shared" si="3"/>
        <v>29600</v>
      </c>
      <c r="C157" s="24">
        <v>23370</v>
      </c>
      <c r="D157" s="24">
        <v>6230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</row>
    <row r="158" spans="1:9" ht="30" customHeight="1">
      <c r="A158" s="48" t="s">
        <v>191</v>
      </c>
      <c r="B158" s="44">
        <f t="shared" si="3"/>
        <v>5324</v>
      </c>
      <c r="C158" s="25">
        <v>0</v>
      </c>
      <c r="D158" s="25">
        <v>5324</v>
      </c>
      <c r="E158" s="24">
        <v>0</v>
      </c>
      <c r="F158" s="24">
        <v>0</v>
      </c>
      <c r="G158" s="25">
        <v>0</v>
      </c>
      <c r="H158" s="24">
        <v>0</v>
      </c>
      <c r="I158" s="24">
        <v>0</v>
      </c>
    </row>
    <row r="159" spans="1:9" ht="30" customHeight="1">
      <c r="A159" s="48" t="s">
        <v>190</v>
      </c>
      <c r="B159" s="44">
        <f t="shared" si="3"/>
        <v>115865</v>
      </c>
      <c r="C159" s="24">
        <v>26572</v>
      </c>
      <c r="D159" s="24">
        <v>89293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</row>
    <row r="160" spans="1:9" ht="32.25" customHeight="1">
      <c r="A160" s="48" t="s">
        <v>189</v>
      </c>
      <c r="B160" s="44">
        <f t="shared" si="3"/>
        <v>2758</v>
      </c>
      <c r="C160" s="24">
        <v>0</v>
      </c>
      <c r="D160" s="24">
        <v>1738</v>
      </c>
      <c r="E160" s="24">
        <v>0</v>
      </c>
      <c r="F160" s="24">
        <v>0</v>
      </c>
      <c r="G160" s="24">
        <v>1020</v>
      </c>
      <c r="H160" s="24">
        <v>0</v>
      </c>
      <c r="I160" s="24">
        <v>0</v>
      </c>
    </row>
    <row r="161" spans="1:9" ht="32.25" customHeight="1">
      <c r="A161" s="48" t="s">
        <v>188</v>
      </c>
      <c r="B161" s="44">
        <f t="shared" si="3"/>
        <v>2226</v>
      </c>
      <c r="C161" s="25">
        <v>0</v>
      </c>
      <c r="D161" s="25">
        <f>2226</f>
        <v>2226</v>
      </c>
      <c r="E161" s="24">
        <v>0</v>
      </c>
      <c r="F161" s="24">
        <v>0</v>
      </c>
      <c r="G161" s="25">
        <v>0</v>
      </c>
      <c r="H161" s="24">
        <v>0</v>
      </c>
      <c r="I161" s="24">
        <v>0</v>
      </c>
    </row>
    <row r="162" spans="1:9" ht="30" customHeight="1">
      <c r="A162" s="48" t="s">
        <v>187</v>
      </c>
      <c r="B162" s="44">
        <f t="shared" si="3"/>
        <v>2807</v>
      </c>
      <c r="C162" s="24">
        <v>0</v>
      </c>
      <c r="D162" s="24">
        <f>2807</f>
        <v>2807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</row>
    <row r="163" spans="1:9" ht="30" customHeight="1">
      <c r="A163" s="48" t="s">
        <v>186</v>
      </c>
      <c r="B163" s="44">
        <f t="shared" si="3"/>
        <v>36635</v>
      </c>
      <c r="C163" s="24">
        <v>26758</v>
      </c>
      <c r="D163" s="24">
        <v>9877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</row>
    <row r="164" spans="1:9" ht="33" customHeight="1">
      <c r="A164" s="48" t="s">
        <v>185</v>
      </c>
      <c r="B164" s="44">
        <f t="shared" si="3"/>
        <v>1661</v>
      </c>
      <c r="C164" s="25"/>
      <c r="D164" s="25">
        <f>1661</f>
        <v>1661</v>
      </c>
      <c r="E164" s="24">
        <v>0</v>
      </c>
      <c r="F164" s="24">
        <v>0</v>
      </c>
      <c r="G164" s="25">
        <v>0</v>
      </c>
      <c r="H164" s="24">
        <v>0</v>
      </c>
      <c r="I164" s="24">
        <v>0</v>
      </c>
    </row>
    <row r="165" spans="1:9" ht="42" customHeight="1">
      <c r="A165" s="48" t="s">
        <v>184</v>
      </c>
      <c r="B165" s="44">
        <f t="shared" si="3"/>
        <v>20118</v>
      </c>
      <c r="C165" s="24">
        <v>14577</v>
      </c>
      <c r="D165" s="24">
        <v>5541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</row>
    <row r="166" spans="1:9" ht="32.25" customHeight="1">
      <c r="A166" s="48" t="s">
        <v>183</v>
      </c>
      <c r="B166" s="44">
        <f t="shared" si="3"/>
        <v>5600</v>
      </c>
      <c r="C166" s="24"/>
      <c r="D166" s="24">
        <v>5600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</row>
    <row r="167" spans="1:9" ht="34.5" customHeight="1">
      <c r="A167" s="48" t="s">
        <v>182</v>
      </c>
      <c r="B167" s="44">
        <f t="shared" si="3"/>
        <v>17052</v>
      </c>
      <c r="C167" s="24">
        <v>14639</v>
      </c>
      <c r="D167" s="24">
        <v>2413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</row>
    <row r="168" spans="1:9" ht="28.5" customHeight="1">
      <c r="A168" s="48" t="s">
        <v>181</v>
      </c>
      <c r="B168" s="44">
        <f t="shared" si="3"/>
        <v>130312</v>
      </c>
      <c r="C168" s="24">
        <v>28916</v>
      </c>
      <c r="D168" s="24">
        <v>101396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</row>
    <row r="169" spans="1:9" ht="28.5" customHeight="1">
      <c r="A169" s="48" t="s">
        <v>180</v>
      </c>
      <c r="B169" s="44">
        <f t="shared" si="3"/>
        <v>35831</v>
      </c>
      <c r="C169" s="24">
        <v>25239</v>
      </c>
      <c r="D169" s="24">
        <v>10592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</row>
    <row r="170" spans="1:9" ht="32.25" customHeight="1">
      <c r="A170" s="48" t="s">
        <v>179</v>
      </c>
      <c r="B170" s="44">
        <f t="shared" si="3"/>
        <v>84568</v>
      </c>
      <c r="C170" s="24">
        <v>29769</v>
      </c>
      <c r="D170" s="24">
        <v>54799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</row>
    <row r="171" spans="1:9" ht="31.5" customHeight="1">
      <c r="A171" s="48" t="s">
        <v>178</v>
      </c>
      <c r="B171" s="44">
        <f t="shared" si="3"/>
        <v>5368</v>
      </c>
      <c r="C171" s="24"/>
      <c r="D171" s="24">
        <v>5368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</row>
    <row r="172" spans="1:9" ht="24.75" customHeight="1">
      <c r="A172" s="48" t="s">
        <v>177</v>
      </c>
      <c r="B172" s="44">
        <f t="shared" si="3"/>
        <v>10336</v>
      </c>
      <c r="C172" s="24">
        <v>6158</v>
      </c>
      <c r="D172" s="24">
        <v>4178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</row>
    <row r="173" spans="1:9" ht="37.5" customHeight="1">
      <c r="A173" s="48" t="s">
        <v>176</v>
      </c>
      <c r="B173" s="44">
        <f t="shared" si="3"/>
        <v>7253</v>
      </c>
      <c r="C173" s="24">
        <v>4088</v>
      </c>
      <c r="D173" s="24">
        <v>3165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</row>
    <row r="174" spans="1:9" ht="40.5" customHeight="1">
      <c r="A174" s="50" t="s">
        <v>233</v>
      </c>
      <c r="B174" s="44">
        <f t="shared" si="3"/>
        <v>99267</v>
      </c>
      <c r="C174" s="28">
        <v>65647</v>
      </c>
      <c r="D174" s="28">
        <f>32641+D175</f>
        <v>31641</v>
      </c>
      <c r="E174" s="24">
        <v>0</v>
      </c>
      <c r="F174" s="24">
        <v>0</v>
      </c>
      <c r="G174" s="28">
        <f>979+G175</f>
        <v>1979</v>
      </c>
      <c r="H174" s="24">
        <v>0</v>
      </c>
      <c r="I174" s="24">
        <v>0</v>
      </c>
    </row>
    <row r="175" spans="1:9" ht="27" customHeight="1">
      <c r="A175" s="62" t="s">
        <v>391</v>
      </c>
      <c r="B175" s="44">
        <f t="shared" si="3"/>
        <v>0</v>
      </c>
      <c r="C175" s="28"/>
      <c r="D175" s="28">
        <v>-1000</v>
      </c>
      <c r="E175" s="24"/>
      <c r="F175" s="24"/>
      <c r="G175" s="28">
        <v>1000</v>
      </c>
      <c r="H175" s="24"/>
      <c r="I175" s="24"/>
    </row>
    <row r="176" spans="1:9" ht="33.75" customHeight="1">
      <c r="A176" s="50" t="s">
        <v>234</v>
      </c>
      <c r="B176" s="44">
        <f t="shared" si="3"/>
        <v>178288</v>
      </c>
      <c r="C176" s="28">
        <v>137838</v>
      </c>
      <c r="D176" s="28">
        <v>40450</v>
      </c>
      <c r="E176" s="24">
        <v>0</v>
      </c>
      <c r="F176" s="24">
        <v>0</v>
      </c>
      <c r="G176" s="28">
        <v>0</v>
      </c>
      <c r="H176" s="24">
        <v>0</v>
      </c>
      <c r="I176" s="24">
        <v>0</v>
      </c>
    </row>
    <row r="177" spans="1:9" ht="35.25" customHeight="1">
      <c r="A177" s="51" t="s">
        <v>235</v>
      </c>
      <c r="B177" s="44">
        <f t="shared" si="3"/>
        <v>7316</v>
      </c>
      <c r="C177" s="27">
        <v>0</v>
      </c>
      <c r="D177" s="36">
        <f>9474+D178</f>
        <v>7316</v>
      </c>
      <c r="E177" s="24">
        <v>0</v>
      </c>
      <c r="F177" s="24">
        <v>0</v>
      </c>
      <c r="G177" s="27">
        <v>0</v>
      </c>
      <c r="H177" s="24">
        <v>0</v>
      </c>
      <c r="I177" s="24">
        <v>0</v>
      </c>
    </row>
    <row r="178" spans="1:9" ht="21" customHeight="1">
      <c r="A178" s="123" t="s">
        <v>391</v>
      </c>
      <c r="B178" s="59">
        <f t="shared" si="3"/>
        <v>-2158</v>
      </c>
      <c r="C178" s="27"/>
      <c r="D178" s="36">
        <v>-2158</v>
      </c>
      <c r="E178" s="24"/>
      <c r="F178" s="24"/>
      <c r="G178" s="27"/>
      <c r="H178" s="24"/>
      <c r="I178" s="24"/>
    </row>
    <row r="179" spans="1:9" ht="30" customHeight="1">
      <c r="A179" s="51" t="s">
        <v>236</v>
      </c>
      <c r="B179" s="44">
        <f t="shared" si="3"/>
        <v>6469</v>
      </c>
      <c r="C179" s="27">
        <v>0</v>
      </c>
      <c r="D179" s="36">
        <f>5840+129+D180</f>
        <v>6469</v>
      </c>
      <c r="E179" s="24">
        <v>0</v>
      </c>
      <c r="F179" s="24">
        <v>0</v>
      </c>
      <c r="G179" s="27">
        <v>0</v>
      </c>
      <c r="H179" s="24">
        <v>0</v>
      </c>
      <c r="I179" s="24">
        <v>0</v>
      </c>
    </row>
    <row r="180" spans="1:9" ht="20.25" customHeight="1">
      <c r="A180" s="123" t="s">
        <v>391</v>
      </c>
      <c r="B180" s="59">
        <f t="shared" si="3"/>
        <v>500</v>
      </c>
      <c r="C180" s="27"/>
      <c r="D180" s="36">
        <v>500</v>
      </c>
      <c r="E180" s="24"/>
      <c r="F180" s="24"/>
      <c r="G180" s="27"/>
      <c r="H180" s="24"/>
      <c r="I180" s="24"/>
    </row>
    <row r="181" spans="1:9" ht="36" customHeight="1">
      <c r="A181" s="50" t="s">
        <v>232</v>
      </c>
      <c r="B181" s="44">
        <f t="shared" si="3"/>
        <v>18000</v>
      </c>
      <c r="C181" s="27">
        <v>0</v>
      </c>
      <c r="D181" s="28">
        <v>0</v>
      </c>
      <c r="E181" s="24">
        <v>0</v>
      </c>
      <c r="F181" s="24">
        <v>0</v>
      </c>
      <c r="G181" s="28">
        <v>18000</v>
      </c>
      <c r="H181" s="24">
        <v>0</v>
      </c>
      <c r="I181" s="24">
        <v>0</v>
      </c>
    </row>
    <row r="182" spans="1:9" ht="32.25" customHeight="1">
      <c r="A182" s="50" t="s">
        <v>304</v>
      </c>
      <c r="B182" s="44">
        <f t="shared" si="3"/>
        <v>5312</v>
      </c>
      <c r="C182" s="30">
        <v>0</v>
      </c>
      <c r="D182" s="28">
        <v>5312</v>
      </c>
      <c r="E182" s="24">
        <v>0</v>
      </c>
      <c r="F182" s="24">
        <v>0</v>
      </c>
      <c r="G182" s="30">
        <v>0</v>
      </c>
      <c r="H182" s="24">
        <v>0</v>
      </c>
      <c r="I182" s="24">
        <v>0</v>
      </c>
    </row>
    <row r="183" spans="1:9" ht="33" customHeight="1">
      <c r="A183" s="50" t="s">
        <v>303</v>
      </c>
      <c r="B183" s="44">
        <f t="shared" si="3"/>
        <v>3674</v>
      </c>
      <c r="C183" s="37">
        <v>0</v>
      </c>
      <c r="D183" s="31">
        <v>3674</v>
      </c>
      <c r="E183" s="24">
        <v>0</v>
      </c>
      <c r="F183" s="24">
        <v>0</v>
      </c>
      <c r="G183" s="37">
        <v>0</v>
      </c>
      <c r="H183" s="24">
        <v>0</v>
      </c>
      <c r="I183" s="24">
        <v>0</v>
      </c>
    </row>
    <row r="184" spans="1:9" ht="36.75" customHeight="1">
      <c r="A184" s="45" t="s">
        <v>32</v>
      </c>
      <c r="B184" s="44">
        <f t="shared" si="3"/>
        <v>14336</v>
      </c>
      <c r="C184" s="24">
        <f>7098+1839+1675+895</f>
        <v>11507</v>
      </c>
      <c r="D184" s="24">
        <f>1714+120+845+150</f>
        <v>2829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</row>
    <row r="185" spans="1:9" ht="37.5" customHeight="1">
      <c r="A185" s="45" t="s">
        <v>33</v>
      </c>
      <c r="B185" s="44">
        <f t="shared" si="3"/>
        <v>13220</v>
      </c>
      <c r="C185" s="24">
        <v>11506</v>
      </c>
      <c r="D185" s="24">
        <f>1714</f>
        <v>1714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</row>
    <row r="186" spans="1:9" ht="36" customHeight="1">
      <c r="A186" s="45" t="s">
        <v>34</v>
      </c>
      <c r="B186" s="44">
        <f t="shared" si="3"/>
        <v>11351</v>
      </c>
      <c r="C186" s="24">
        <f>7264+1509+600+219</f>
        <v>9592</v>
      </c>
      <c r="D186" s="24">
        <f>103+781+830+45</f>
        <v>1759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</row>
    <row r="187" spans="1:9" ht="29.25" customHeight="1">
      <c r="A187" s="48" t="s">
        <v>240</v>
      </c>
      <c r="B187" s="44">
        <f t="shared" si="3"/>
        <v>12839</v>
      </c>
      <c r="C187" s="24">
        <f>8773+374</f>
        <v>9147</v>
      </c>
      <c r="D187" s="24">
        <f>1714+568+210</f>
        <v>2492</v>
      </c>
      <c r="E187" s="24">
        <v>0</v>
      </c>
      <c r="F187" s="24">
        <v>0</v>
      </c>
      <c r="G187" s="24">
        <v>1200</v>
      </c>
      <c r="H187" s="24">
        <v>0</v>
      </c>
      <c r="I187" s="24">
        <v>0</v>
      </c>
    </row>
    <row r="188" spans="1:9" ht="31.5" customHeight="1">
      <c r="A188" s="45" t="s">
        <v>35</v>
      </c>
      <c r="B188" s="44">
        <f t="shared" si="3"/>
        <v>10829</v>
      </c>
      <c r="C188" s="24">
        <f>7098+1675+342</f>
        <v>9115</v>
      </c>
      <c r="D188" s="24">
        <f>470+1244</f>
        <v>1714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</row>
    <row r="189" spans="1:9" ht="49.5" customHeight="1">
      <c r="A189" s="50" t="s">
        <v>211</v>
      </c>
      <c r="B189" s="44">
        <f t="shared" si="3"/>
        <v>14602</v>
      </c>
      <c r="C189" s="28">
        <f>3900+8773</f>
        <v>12673</v>
      </c>
      <c r="D189" s="28">
        <f>86+973+870</f>
        <v>1929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</row>
    <row r="190" spans="1:9" ht="15" customHeight="1">
      <c r="A190" s="48" t="s">
        <v>205</v>
      </c>
      <c r="B190" s="44">
        <f t="shared" si="3"/>
        <v>13703</v>
      </c>
      <c r="C190" s="24">
        <f>7098+1675+1700+667</f>
        <v>11140</v>
      </c>
      <c r="D190" s="24">
        <f>134+170+1410+654+195</f>
        <v>2563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</row>
    <row r="191" spans="1:9" ht="33" customHeight="1">
      <c r="A191" s="45" t="s">
        <v>36</v>
      </c>
      <c r="B191" s="44">
        <f t="shared" si="3"/>
        <v>14201</v>
      </c>
      <c r="C191" s="24">
        <f>8773+1839+895</f>
        <v>11507</v>
      </c>
      <c r="D191" s="24">
        <f>1714+980</f>
        <v>2694</v>
      </c>
      <c r="E191" s="24">
        <v>0</v>
      </c>
      <c r="F191" s="24">
        <v>0</v>
      </c>
      <c r="G191" s="24"/>
      <c r="H191" s="24">
        <v>0</v>
      </c>
      <c r="I191" s="24">
        <v>0</v>
      </c>
    </row>
    <row r="192" spans="1:9" ht="30.75" customHeight="1">
      <c r="A192" s="45" t="s">
        <v>37</v>
      </c>
      <c r="B192" s="44">
        <f t="shared" si="3"/>
        <v>12075</v>
      </c>
      <c r="C192" s="24">
        <f>8773+296</f>
        <v>9069</v>
      </c>
      <c r="D192" s="24">
        <f>1714+492</f>
        <v>2206</v>
      </c>
      <c r="E192" s="24">
        <v>0</v>
      </c>
      <c r="F192" s="24">
        <v>0</v>
      </c>
      <c r="G192" s="24">
        <v>800</v>
      </c>
      <c r="H192" s="24">
        <v>0</v>
      </c>
      <c r="I192" s="24">
        <v>0</v>
      </c>
    </row>
    <row r="193" spans="1:9" ht="35.25" customHeight="1">
      <c r="A193" s="50" t="s">
        <v>310</v>
      </c>
      <c r="B193" s="44">
        <f t="shared" si="3"/>
        <v>34886</v>
      </c>
      <c r="C193" s="28">
        <v>15699</v>
      </c>
      <c r="D193" s="28">
        <v>19187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</row>
    <row r="194" spans="1:9" ht="50.25" customHeight="1">
      <c r="A194" s="47" t="s">
        <v>123</v>
      </c>
      <c r="B194" s="44">
        <f t="shared" si="3"/>
        <v>40000</v>
      </c>
      <c r="C194" s="24">
        <v>0</v>
      </c>
      <c r="D194" s="24">
        <v>40000</v>
      </c>
      <c r="E194" s="24">
        <v>0</v>
      </c>
      <c r="F194" s="38">
        <v>0</v>
      </c>
      <c r="G194" s="24">
        <v>0</v>
      </c>
      <c r="H194" s="24">
        <v>0</v>
      </c>
      <c r="I194" s="24">
        <v>0</v>
      </c>
    </row>
    <row r="195" spans="1:9" ht="72" customHeight="1">
      <c r="A195" s="50" t="s">
        <v>210</v>
      </c>
      <c r="B195" s="44">
        <f t="shared" si="3"/>
        <v>11940</v>
      </c>
      <c r="C195" s="30">
        <v>0</v>
      </c>
      <c r="D195" s="27">
        <v>11940</v>
      </c>
      <c r="E195" s="27">
        <v>0</v>
      </c>
      <c r="F195" s="27">
        <v>0</v>
      </c>
      <c r="G195" s="27">
        <v>0</v>
      </c>
      <c r="H195" s="30">
        <v>0</v>
      </c>
      <c r="I195" s="27">
        <v>0</v>
      </c>
    </row>
    <row r="196" spans="1:9" ht="33.75" customHeight="1">
      <c r="A196" s="48" t="s">
        <v>239</v>
      </c>
      <c r="B196" s="44">
        <f t="shared" si="3"/>
        <v>6870</v>
      </c>
      <c r="C196" s="24">
        <f>C197</f>
        <v>549</v>
      </c>
      <c r="D196" s="24">
        <f>3672+D197</f>
        <v>6321</v>
      </c>
      <c r="E196" s="24"/>
      <c r="F196" s="24"/>
      <c r="G196" s="24"/>
      <c r="H196" s="24"/>
      <c r="I196" s="24"/>
    </row>
    <row r="197" spans="1:9" ht="33.75" customHeight="1">
      <c r="A197" s="61" t="s">
        <v>391</v>
      </c>
      <c r="B197" s="44">
        <f t="shared" si="3"/>
        <v>3198</v>
      </c>
      <c r="C197" s="24">
        <v>549</v>
      </c>
      <c r="D197" s="24">
        <v>2649</v>
      </c>
      <c r="E197" s="24"/>
      <c r="F197" s="24"/>
      <c r="G197" s="24"/>
      <c r="H197" s="24"/>
      <c r="I197" s="24"/>
    </row>
    <row r="198" spans="1:9" ht="54" customHeight="1">
      <c r="A198" s="48" t="s">
        <v>347</v>
      </c>
      <c r="B198" s="44">
        <f t="shared" si="3"/>
        <v>20000</v>
      </c>
      <c r="C198" s="24">
        <v>0</v>
      </c>
      <c r="D198" s="24">
        <v>20000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</row>
    <row r="199" spans="1:9" ht="25.5" customHeight="1">
      <c r="A199" s="45" t="s">
        <v>289</v>
      </c>
      <c r="B199" s="44">
        <f t="shared" si="3"/>
        <v>90038</v>
      </c>
      <c r="C199" s="24">
        <v>77854</v>
      </c>
      <c r="D199" s="24">
        <f>12184+D200</f>
        <v>9865</v>
      </c>
      <c r="E199" s="24">
        <v>0</v>
      </c>
      <c r="F199" s="24">
        <v>0</v>
      </c>
      <c r="G199" s="24">
        <f>G200</f>
        <v>2319</v>
      </c>
      <c r="H199" s="24">
        <v>0</v>
      </c>
      <c r="I199" s="24">
        <v>0</v>
      </c>
    </row>
    <row r="200" spans="1:9" ht="25.5" customHeight="1">
      <c r="A200" s="61" t="s">
        <v>391</v>
      </c>
      <c r="B200" s="44">
        <f t="shared" si="3"/>
        <v>0</v>
      </c>
      <c r="C200" s="24"/>
      <c r="D200" s="24">
        <v>-2319</v>
      </c>
      <c r="E200" s="24"/>
      <c r="F200" s="24"/>
      <c r="G200" s="24">
        <v>2319</v>
      </c>
      <c r="H200" s="24"/>
      <c r="I200" s="24"/>
    </row>
    <row r="201" spans="1:9" ht="36" customHeight="1">
      <c r="A201" s="45" t="s">
        <v>334</v>
      </c>
      <c r="B201" s="44">
        <f t="shared" si="3"/>
        <v>45833</v>
      </c>
      <c r="C201" s="24">
        <v>4115</v>
      </c>
      <c r="D201" s="24">
        <f>41718+D202</f>
        <v>38918</v>
      </c>
      <c r="E201" s="24">
        <v>0</v>
      </c>
      <c r="F201" s="24">
        <v>0</v>
      </c>
      <c r="G201" s="24">
        <f>G202</f>
        <v>2800</v>
      </c>
      <c r="H201" s="24">
        <v>0</v>
      </c>
      <c r="I201" s="24">
        <v>0</v>
      </c>
    </row>
    <row r="202" spans="1:9" ht="36" customHeight="1">
      <c r="A202" s="61" t="s">
        <v>391</v>
      </c>
      <c r="B202" s="44">
        <f t="shared" si="3"/>
        <v>0</v>
      </c>
      <c r="C202" s="24"/>
      <c r="D202" s="24">
        <v>-2800</v>
      </c>
      <c r="E202" s="24"/>
      <c r="F202" s="24"/>
      <c r="G202" s="24">
        <v>2800</v>
      </c>
      <c r="H202" s="24"/>
      <c r="I202" s="24"/>
    </row>
    <row r="203" spans="1:9" ht="29.25" customHeight="1">
      <c r="A203" s="45" t="s">
        <v>38</v>
      </c>
      <c r="B203" s="44">
        <f t="shared" si="3"/>
        <v>11365</v>
      </c>
      <c r="C203" s="24">
        <v>373</v>
      </c>
      <c r="D203" s="24">
        <f>10992+D204</f>
        <v>8992</v>
      </c>
      <c r="E203" s="24">
        <f>E204</f>
        <v>2000</v>
      </c>
      <c r="F203" s="24">
        <v>0</v>
      </c>
      <c r="G203" s="24">
        <v>0</v>
      </c>
      <c r="H203" s="24">
        <v>0</v>
      </c>
      <c r="I203" s="24">
        <v>0</v>
      </c>
    </row>
    <row r="204" spans="1:9" ht="29.25" customHeight="1">
      <c r="A204" s="60" t="s">
        <v>391</v>
      </c>
      <c r="B204" s="44">
        <f t="shared" si="3"/>
        <v>0</v>
      </c>
      <c r="C204" s="24"/>
      <c r="D204" s="24">
        <v>-2000</v>
      </c>
      <c r="E204" s="24">
        <v>2000</v>
      </c>
      <c r="F204" s="24"/>
      <c r="G204" s="24"/>
      <c r="H204" s="24"/>
      <c r="I204" s="24"/>
    </row>
    <row r="205" spans="1:9" ht="24" customHeight="1">
      <c r="A205" s="45" t="s">
        <v>381</v>
      </c>
      <c r="B205" s="44">
        <f t="shared" si="3"/>
        <v>28890</v>
      </c>
      <c r="C205" s="24">
        <v>17167</v>
      </c>
      <c r="D205" s="24">
        <v>11723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</row>
    <row r="206" spans="1:9" ht="15">
      <c r="A206" s="45" t="s">
        <v>39</v>
      </c>
      <c r="B206" s="44">
        <f t="shared" si="4" ref="B206:B252">=SUM(C206:I206)</f>
        <v>513021</v>
      </c>
      <c r="C206" s="24">
        <v>436692</v>
      </c>
      <c r="D206" s="24">
        <v>51929</v>
      </c>
      <c r="E206" s="24">
        <v>0</v>
      </c>
      <c r="F206" s="24">
        <v>0</v>
      </c>
      <c r="G206" s="24">
        <v>24400</v>
      </c>
      <c r="H206" s="24">
        <v>0</v>
      </c>
      <c r="I206" s="24">
        <v>0</v>
      </c>
    </row>
    <row r="207" spans="1:9" ht="15">
      <c r="A207" s="50" t="s">
        <v>214</v>
      </c>
      <c r="B207" s="44">
        <f t="shared" si="4"/>
        <v>10683</v>
      </c>
      <c r="C207" s="34">
        <f>7524+2163</f>
        <v>9687</v>
      </c>
      <c r="D207" s="34">
        <f>306+690</f>
        <v>996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</row>
    <row r="208" spans="1:9" ht="15">
      <c r="A208" s="47" t="s">
        <v>148</v>
      </c>
      <c r="B208" s="44">
        <f t="shared" si="4"/>
        <v>133467</v>
      </c>
      <c r="C208" s="24">
        <f>99990+C209</f>
        <v>100378</v>
      </c>
      <c r="D208" s="24">
        <f>28774+D209</f>
        <v>33089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</row>
    <row r="209" spans="1:9" ht="15">
      <c r="A209" s="77" t="s">
        <v>391</v>
      </c>
      <c r="B209" s="44">
        <f t="shared" si="4"/>
        <v>4703</v>
      </c>
      <c r="C209" s="24">
        <v>388</v>
      </c>
      <c r="D209" s="24">
        <f>15+1300+3000</f>
        <v>4315</v>
      </c>
      <c r="E209" s="24"/>
      <c r="F209" s="24"/>
      <c r="G209" s="24"/>
      <c r="H209" s="24"/>
      <c r="I209" s="24"/>
    </row>
    <row r="210" spans="1:9" ht="15">
      <c r="A210" s="47" t="s">
        <v>242</v>
      </c>
      <c r="B210" s="44">
        <f t="shared" si="4"/>
        <v>55521</v>
      </c>
      <c r="C210" s="24">
        <v>48607</v>
      </c>
      <c r="D210" s="24">
        <v>6814</v>
      </c>
      <c r="E210" s="24"/>
      <c r="F210" s="24"/>
      <c r="G210" s="24">
        <v>100</v>
      </c>
      <c r="H210" s="24"/>
      <c r="I210" s="24"/>
    </row>
    <row r="211" spans="1:9" ht="15">
      <c r="A211" s="48" t="s">
        <v>213</v>
      </c>
      <c r="B211" s="44">
        <f t="shared" si="4"/>
        <v>42457</v>
      </c>
      <c r="C211" s="24">
        <v>28224</v>
      </c>
      <c r="D211" s="24">
        <f>12998+1235</f>
        <v>14233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</row>
    <row r="212" spans="1:9" ht="30">
      <c r="A212" s="48" t="s">
        <v>212</v>
      </c>
      <c r="B212" s="44">
        <f t="shared" si="4"/>
        <v>14993</v>
      </c>
      <c r="C212" s="24">
        <v>11658</v>
      </c>
      <c r="D212" s="24">
        <v>3335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</row>
    <row r="213" spans="1:9" ht="24" customHeight="1">
      <c r="A213" s="45" t="s">
        <v>146</v>
      </c>
      <c r="B213" s="44">
        <f t="shared" si="4"/>
        <v>241320</v>
      </c>
      <c r="C213" s="24">
        <f>5670+137400+39491</f>
        <v>182561</v>
      </c>
      <c r="D213" s="24">
        <f>80+38414+9365+1500+D214</f>
        <v>53409</v>
      </c>
      <c r="E213" s="24">
        <v>0</v>
      </c>
      <c r="F213" s="24">
        <v>0</v>
      </c>
      <c r="G213" s="24">
        <f>5000+G214</f>
        <v>5350</v>
      </c>
      <c r="H213" s="24">
        <v>0</v>
      </c>
      <c r="I213" s="24">
        <v>0</v>
      </c>
    </row>
    <row r="214" spans="1:9" ht="24" customHeight="1">
      <c r="A214" s="60" t="s">
        <v>391</v>
      </c>
      <c r="B214" s="44">
        <f t="shared" si="4"/>
        <v>4400</v>
      </c>
      <c r="C214" s="24"/>
      <c r="D214" s="24">
        <f>1000+3050</f>
        <v>4050</v>
      </c>
      <c r="E214" s="24"/>
      <c r="F214" s="24"/>
      <c r="G214" s="24">
        <v>350</v>
      </c>
      <c r="H214" s="24"/>
      <c r="I214" s="24"/>
    </row>
    <row r="215" spans="1:9" ht="15">
      <c r="A215" s="45" t="s">
        <v>40</v>
      </c>
      <c r="B215" s="44">
        <f t="shared" si="4"/>
        <v>69229</v>
      </c>
      <c r="C215" s="24">
        <v>700</v>
      </c>
      <c r="D215" s="24">
        <f>64879+D216</f>
        <v>68529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</row>
    <row r="216" spans="1:9" ht="15">
      <c r="A216" s="60" t="s">
        <v>391</v>
      </c>
      <c r="B216" s="44">
        <f t="shared" si="4"/>
        <v>3650</v>
      </c>
      <c r="C216" s="24"/>
      <c r="D216" s="24">
        <f>250+3400</f>
        <v>3650</v>
      </c>
      <c r="E216" s="24"/>
      <c r="F216" s="24"/>
      <c r="G216" s="24"/>
      <c r="H216" s="24"/>
      <c r="I216" s="24"/>
    </row>
    <row r="217" spans="1:9" ht="15">
      <c r="A217" s="45" t="s">
        <v>332</v>
      </c>
      <c r="B217" s="44">
        <f t="shared" si="4"/>
        <v>19941</v>
      </c>
      <c r="C217" s="24">
        <f>14207+C218</f>
        <v>14542</v>
      </c>
      <c r="D217" s="24">
        <f>5734+D218</f>
        <v>5399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</row>
    <row r="218" spans="1:9" ht="15">
      <c r="A218" s="60" t="s">
        <v>391</v>
      </c>
      <c r="B218" s="44">
        <f t="shared" si="4"/>
        <v>0</v>
      </c>
      <c r="C218" s="24">
        <v>335</v>
      </c>
      <c r="D218" s="24">
        <v>-335</v>
      </c>
      <c r="E218" s="24"/>
      <c r="F218" s="24"/>
      <c r="G218" s="24"/>
      <c r="H218" s="24"/>
      <c r="I218" s="24"/>
    </row>
    <row r="219" spans="1:9" ht="15">
      <c r="A219" s="45" t="s">
        <v>323</v>
      </c>
      <c r="B219" s="44">
        <f t="shared" si="4"/>
        <v>15685</v>
      </c>
      <c r="C219" s="24">
        <v>12728</v>
      </c>
      <c r="D219" s="24">
        <v>2957</v>
      </c>
      <c r="E219" s="24">
        <v>0</v>
      </c>
      <c r="F219" s="24">
        <v>0</v>
      </c>
      <c r="G219" s="24"/>
      <c r="H219" s="24">
        <v>0</v>
      </c>
      <c r="I219" s="24">
        <v>0</v>
      </c>
    </row>
    <row r="220" spans="1:9" ht="15">
      <c r="A220" s="45" t="s">
        <v>325</v>
      </c>
      <c r="B220" s="44">
        <f t="shared" si="4"/>
        <v>12177</v>
      </c>
      <c r="C220" s="24">
        <v>9730</v>
      </c>
      <c r="D220" s="24">
        <v>2447</v>
      </c>
      <c r="E220" s="24">
        <v>0</v>
      </c>
      <c r="F220" s="24">
        <v>0</v>
      </c>
      <c r="G220" s="24"/>
      <c r="H220" s="24">
        <v>0</v>
      </c>
      <c r="I220" s="24">
        <v>0</v>
      </c>
    </row>
    <row r="221" spans="1:9" ht="15">
      <c r="A221" s="45" t="s">
        <v>326</v>
      </c>
      <c r="B221" s="44">
        <f t="shared" si="4"/>
        <v>43763</v>
      </c>
      <c r="C221" s="24">
        <v>37433</v>
      </c>
      <c r="D221" s="24">
        <v>6330</v>
      </c>
      <c r="E221" s="24">
        <v>0</v>
      </c>
      <c r="F221" s="24">
        <v>0</v>
      </c>
      <c r="G221" s="24"/>
      <c r="H221" s="24">
        <v>0</v>
      </c>
      <c r="I221" s="24">
        <v>0</v>
      </c>
    </row>
    <row r="222" spans="1:9" ht="15">
      <c r="A222" s="45" t="s">
        <v>41</v>
      </c>
      <c r="B222" s="44">
        <f t="shared" si="4"/>
        <v>39904</v>
      </c>
      <c r="C222" s="24">
        <v>30489</v>
      </c>
      <c r="D222" s="24">
        <v>9415</v>
      </c>
      <c r="E222" s="24">
        <v>0</v>
      </c>
      <c r="F222" s="24">
        <v>0</v>
      </c>
      <c r="G222" s="24"/>
      <c r="H222" s="24">
        <v>0</v>
      </c>
      <c r="I222" s="24">
        <v>0</v>
      </c>
    </row>
    <row r="223" spans="1:9" ht="15">
      <c r="A223" s="45" t="s">
        <v>42</v>
      </c>
      <c r="B223" s="44">
        <f t="shared" si="4"/>
        <v>25656</v>
      </c>
      <c r="C223" s="24">
        <v>20654</v>
      </c>
      <c r="D223" s="24">
        <v>4402</v>
      </c>
      <c r="E223" s="24">
        <v>0</v>
      </c>
      <c r="F223" s="24">
        <v>0</v>
      </c>
      <c r="G223" s="24">
        <v>600</v>
      </c>
      <c r="H223" s="24">
        <v>0</v>
      </c>
      <c r="I223" s="24">
        <v>0</v>
      </c>
    </row>
    <row r="224" spans="1:9" ht="15">
      <c r="A224" s="45" t="s">
        <v>43</v>
      </c>
      <c r="B224" s="44">
        <f t="shared" si="4"/>
        <v>51598</v>
      </c>
      <c r="C224" s="24">
        <v>36309</v>
      </c>
      <c r="D224" s="24">
        <v>15289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</row>
    <row r="225" spans="1:9" ht="15">
      <c r="A225" s="45" t="s">
        <v>352</v>
      </c>
      <c r="B225" s="44">
        <f t="shared" si="4"/>
        <v>44056</v>
      </c>
      <c r="C225" s="24">
        <v>33731</v>
      </c>
      <c r="D225" s="24">
        <v>10325</v>
      </c>
      <c r="E225" s="24">
        <v>0</v>
      </c>
      <c r="F225" s="24">
        <v>0</v>
      </c>
      <c r="G225" s="24"/>
      <c r="H225" s="24">
        <v>0</v>
      </c>
      <c r="I225" s="24">
        <v>0</v>
      </c>
    </row>
    <row r="226" spans="1:9" ht="15">
      <c r="A226" s="45" t="s">
        <v>339</v>
      </c>
      <c r="B226" s="44">
        <f t="shared" si="4"/>
        <v>34557</v>
      </c>
      <c r="C226" s="24">
        <v>26697</v>
      </c>
      <c r="D226" s="24">
        <f>7437+D227</f>
        <v>7860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</row>
    <row r="227" spans="1:9" ht="15">
      <c r="A227" s="60" t="s">
        <v>391</v>
      </c>
      <c r="B227" s="44">
        <f t="shared" si="4"/>
        <v>423</v>
      </c>
      <c r="C227" s="24"/>
      <c r="D227" s="24">
        <v>423</v>
      </c>
      <c r="E227" s="24"/>
      <c r="F227" s="24"/>
      <c r="G227" s="24"/>
      <c r="H227" s="24"/>
      <c r="I227" s="24"/>
    </row>
    <row r="228" spans="1:9" ht="15">
      <c r="A228" s="45" t="s">
        <v>44</v>
      </c>
      <c r="B228" s="44">
        <f t="shared" si="4"/>
        <v>24648</v>
      </c>
      <c r="C228" s="24">
        <v>18913</v>
      </c>
      <c r="D228" s="24">
        <v>4935</v>
      </c>
      <c r="E228" s="24">
        <v>0</v>
      </c>
      <c r="F228" s="24">
        <v>0</v>
      </c>
      <c r="G228" s="24">
        <v>800</v>
      </c>
      <c r="H228" s="24">
        <v>0</v>
      </c>
      <c r="I228" s="24">
        <v>0</v>
      </c>
    </row>
    <row r="229" spans="1:9" ht="15">
      <c r="A229" s="50" t="s">
        <v>315</v>
      </c>
      <c r="B229" s="44">
        <f t="shared" si="4"/>
        <v>67532</v>
      </c>
      <c r="C229" s="34">
        <f>50003+638</f>
        <v>50641</v>
      </c>
      <c r="D229" s="34">
        <v>16891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</row>
    <row r="230" spans="1:9" ht="15">
      <c r="A230" s="50" t="s">
        <v>209</v>
      </c>
      <c r="B230" s="44">
        <f t="shared" si="4"/>
        <v>49007</v>
      </c>
      <c r="C230" s="28">
        <v>31785</v>
      </c>
      <c r="D230" s="28">
        <v>17222</v>
      </c>
      <c r="E230" s="27">
        <v>0</v>
      </c>
      <c r="F230" s="27">
        <v>0</v>
      </c>
      <c r="G230" s="28">
        <v>0</v>
      </c>
      <c r="H230" s="27">
        <v>0</v>
      </c>
      <c r="I230" s="27">
        <v>0</v>
      </c>
    </row>
    <row r="231" spans="1:9" ht="15">
      <c r="A231" s="52" t="s">
        <v>243</v>
      </c>
      <c r="B231" s="44">
        <f t="shared" si="4"/>
        <v>42271</v>
      </c>
      <c r="C231" s="38">
        <f>2025+34657</f>
        <v>36682</v>
      </c>
      <c r="D231" s="38">
        <v>5589</v>
      </c>
      <c r="E231" s="38"/>
      <c r="F231" s="38"/>
      <c r="G231" s="38">
        <v>0</v>
      </c>
      <c r="H231" s="38"/>
      <c r="I231" s="38"/>
    </row>
    <row r="232" spans="1:9" ht="15">
      <c r="A232" s="52" t="s">
        <v>275</v>
      </c>
      <c r="B232" s="44">
        <f t="shared" si="4"/>
        <v>6790</v>
      </c>
      <c r="C232" s="38"/>
      <c r="D232" s="38">
        <v>6790</v>
      </c>
      <c r="E232" s="38"/>
      <c r="F232" s="38"/>
      <c r="G232" s="38"/>
      <c r="H232" s="38"/>
      <c r="I232" s="38"/>
    </row>
    <row r="233" spans="1:9" ht="30">
      <c r="A233" s="48" t="s">
        <v>251</v>
      </c>
      <c r="B233" s="44">
        <f t="shared" si="4"/>
        <v>32277</v>
      </c>
      <c r="C233" s="24">
        <f>22618+534</f>
        <v>23152</v>
      </c>
      <c r="D233" s="24">
        <v>9125</v>
      </c>
      <c r="E233" s="24"/>
      <c r="F233" s="24"/>
      <c r="G233" s="24"/>
      <c r="H233" s="24"/>
      <c r="I233" s="24"/>
    </row>
    <row r="234" spans="1:9" ht="15">
      <c r="A234" s="48" t="s">
        <v>250</v>
      </c>
      <c r="B234" s="44">
        <f t="shared" si="4"/>
        <v>12744</v>
      </c>
      <c r="C234" s="24">
        <v>7514</v>
      </c>
      <c r="D234" s="24">
        <v>5230</v>
      </c>
      <c r="E234" s="24"/>
      <c r="F234" s="24"/>
      <c r="G234" s="24"/>
      <c r="H234" s="24"/>
      <c r="I234" s="24"/>
    </row>
    <row r="235" spans="1:9" ht="15">
      <c r="A235" s="48" t="s">
        <v>249</v>
      </c>
      <c r="B235" s="44">
        <f t="shared" si="4"/>
        <v>33826</v>
      </c>
      <c r="C235" s="24">
        <f>810+21504+312</f>
        <v>22626</v>
      </c>
      <c r="D235" s="24">
        <v>11200</v>
      </c>
      <c r="E235" s="24"/>
      <c r="F235" s="24"/>
      <c r="G235" s="24"/>
      <c r="H235" s="24"/>
      <c r="I235" s="24"/>
    </row>
    <row r="236" spans="1:9" ht="30">
      <c r="A236" s="48" t="s">
        <v>248</v>
      </c>
      <c r="B236" s="44">
        <f t="shared" si="4"/>
        <v>64366</v>
      </c>
      <c r="C236" s="24">
        <f>45771+1215</f>
        <v>46986</v>
      </c>
      <c r="D236" s="24">
        <f>12880+D237</f>
        <v>15980</v>
      </c>
      <c r="E236" s="24"/>
      <c r="F236" s="24"/>
      <c r="G236" s="24">
        <f>500+900</f>
        <v>1400</v>
      </c>
      <c r="H236" s="24"/>
      <c r="I236" s="24"/>
    </row>
    <row r="237" spans="1:9" ht="15">
      <c r="A237" s="61" t="s">
        <v>391</v>
      </c>
      <c r="B237" s="44">
        <f t="shared" si="4"/>
        <v>3100</v>
      </c>
      <c r="C237" s="24"/>
      <c r="D237" s="24">
        <v>3100</v>
      </c>
      <c r="E237" s="24"/>
      <c r="F237" s="24"/>
      <c r="G237" s="24"/>
      <c r="H237" s="24"/>
      <c r="I237" s="24"/>
    </row>
    <row r="238" spans="1:9" ht="15">
      <c r="A238" s="48" t="s">
        <v>247</v>
      </c>
      <c r="B238" s="44">
        <f t="shared" si="4"/>
        <v>98706</v>
      </c>
      <c r="C238" s="24">
        <f>4455+56974+312</f>
        <v>61741</v>
      </c>
      <c r="D238" s="24">
        <f>25434+D239</f>
        <v>36965</v>
      </c>
      <c r="E238" s="24"/>
      <c r="F238" s="24"/>
      <c r="G238" s="24"/>
      <c r="H238" s="24"/>
      <c r="I238" s="24"/>
    </row>
    <row r="239" spans="1:9" ht="15">
      <c r="A239" s="61" t="s">
        <v>391</v>
      </c>
      <c r="B239" s="44">
        <f t="shared" si="4"/>
        <v>11531</v>
      </c>
      <c r="C239" s="24"/>
      <c r="D239" s="24">
        <v>11531</v>
      </c>
      <c r="E239" s="24"/>
      <c r="F239" s="24"/>
      <c r="G239" s="24"/>
      <c r="H239" s="24"/>
      <c r="I239" s="24"/>
    </row>
    <row r="240" spans="1:9" ht="15">
      <c r="A240" s="48" t="s">
        <v>246</v>
      </c>
      <c r="B240" s="44">
        <f t="shared" si="4"/>
        <v>39975</v>
      </c>
      <c r="C240" s="24">
        <f>810+28539+312</f>
        <v>29661</v>
      </c>
      <c r="D240" s="24">
        <v>10314</v>
      </c>
      <c r="E240" s="24"/>
      <c r="F240" s="24"/>
      <c r="G240" s="24"/>
      <c r="H240" s="24"/>
      <c r="I240" s="24"/>
    </row>
    <row r="241" spans="1:9" ht="15">
      <c r="A241" s="48" t="s">
        <v>245</v>
      </c>
      <c r="B241" s="44">
        <f t="shared" si="4"/>
        <v>5460</v>
      </c>
      <c r="C241" s="24">
        <v>2292</v>
      </c>
      <c r="D241" s="24">
        <v>3168</v>
      </c>
      <c r="E241" s="24"/>
      <c r="F241" s="24"/>
      <c r="G241" s="24"/>
      <c r="H241" s="24"/>
      <c r="I241" s="24"/>
    </row>
    <row r="242" spans="1:9" ht="15">
      <c r="A242" s="48" t="s">
        <v>244</v>
      </c>
      <c r="B242" s="44">
        <f t="shared" si="4"/>
        <v>1352</v>
      </c>
      <c r="C242" s="24">
        <v>829</v>
      </c>
      <c r="D242" s="24">
        <v>523</v>
      </c>
      <c r="E242" s="24"/>
      <c r="F242" s="24"/>
      <c r="G242" s="24"/>
      <c r="H242" s="24"/>
      <c r="I242" s="24"/>
    </row>
    <row r="243" spans="1:9" ht="60">
      <c r="A243" s="48" t="s">
        <v>382</v>
      </c>
      <c r="B243" s="44">
        <f t="shared" si="4"/>
        <v>10000</v>
      </c>
      <c r="C243" s="24"/>
      <c r="D243" s="24"/>
      <c r="E243" s="24">
        <f>10000</f>
        <v>10000</v>
      </c>
      <c r="F243" s="24"/>
      <c r="G243" s="24"/>
      <c r="H243" s="24"/>
      <c r="I243" s="24"/>
    </row>
    <row r="244" spans="1:9" ht="28.9" customHeight="1">
      <c r="A244" s="43" t="s">
        <v>336</v>
      </c>
      <c r="B244" s="44">
        <f t="shared" si="4"/>
        <v>19200</v>
      </c>
      <c r="C244" s="24"/>
      <c r="D244" s="24"/>
      <c r="E244" s="24">
        <v>19200</v>
      </c>
      <c r="F244" s="24"/>
      <c r="G244" s="24"/>
      <c r="H244" s="24"/>
      <c r="I244" s="24"/>
    </row>
    <row r="245" spans="1:9" ht="15">
      <c r="A245" s="47" t="s">
        <v>297</v>
      </c>
      <c r="B245" s="44">
        <f t="shared" si="4"/>
        <v>65159</v>
      </c>
      <c r="C245" s="33">
        <f>43080+12532</f>
        <v>55612</v>
      </c>
      <c r="D245" s="33">
        <v>9547</v>
      </c>
      <c r="E245" s="32"/>
      <c r="F245" s="32"/>
      <c r="G245" s="33"/>
      <c r="H245" s="32"/>
      <c r="I245" s="32"/>
    </row>
    <row r="246" spans="1:9" ht="15">
      <c r="A246" s="47" t="s">
        <v>298</v>
      </c>
      <c r="B246" s="44">
        <f t="shared" si="4"/>
        <v>50147</v>
      </c>
      <c r="C246" s="33">
        <v>8075</v>
      </c>
      <c r="D246" s="33">
        <f>23422+18650</f>
        <v>42072</v>
      </c>
      <c r="E246" s="32"/>
      <c r="F246" s="32"/>
      <c r="G246" s="33"/>
      <c r="H246" s="32"/>
      <c r="I246" s="32"/>
    </row>
    <row r="247" spans="1:9" ht="30">
      <c r="A247" s="48" t="s">
        <v>45</v>
      </c>
      <c r="B247" s="44">
        <f t="shared" si="4"/>
        <v>85547</v>
      </c>
      <c r="C247" s="24">
        <v>4500</v>
      </c>
      <c r="D247" s="24">
        <v>80387</v>
      </c>
      <c r="E247" s="24"/>
      <c r="F247" s="24">
        <v>0</v>
      </c>
      <c r="G247" s="24"/>
      <c r="H247" s="24">
        <v>660</v>
      </c>
      <c r="I247" s="24">
        <v>0</v>
      </c>
    </row>
    <row r="248" spans="1:9" ht="15">
      <c r="A248" s="45" t="s">
        <v>46</v>
      </c>
      <c r="B248" s="44">
        <f t="shared" si="4"/>
        <v>729964</v>
      </c>
      <c r="C248" s="24">
        <f>598836+C249</f>
        <v>607528</v>
      </c>
      <c r="D248" s="24">
        <f>109500+D249</f>
        <v>122436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</row>
    <row r="249" spans="1:9" ht="15">
      <c r="A249" s="61" t="s">
        <v>391</v>
      </c>
      <c r="B249" s="59">
        <f t="shared" si="4"/>
        <v>21628</v>
      </c>
      <c r="C249" s="58">
        <f>2662+6030</f>
        <v>8692</v>
      </c>
      <c r="D249" s="24">
        <f>36+9700+3200</f>
        <v>12936</v>
      </c>
      <c r="E249" s="24"/>
      <c r="F249" s="24"/>
      <c r="G249" s="24"/>
      <c r="H249" s="24"/>
      <c r="I249" s="24"/>
    </row>
    <row r="250" spans="1:9" ht="15">
      <c r="A250" s="45" t="s">
        <v>47</v>
      </c>
      <c r="B250" s="44">
        <f>SUM(C250:I250)</f>
        <v>442355</v>
      </c>
      <c r="C250" s="24">
        <f>374010+C251</f>
        <v>374243</v>
      </c>
      <c r="D250" s="24">
        <f>65160+D251</f>
        <v>68112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</row>
    <row r="251" spans="1:9" ht="15">
      <c r="A251" s="61" t="s">
        <v>391</v>
      </c>
      <c r="B251" s="59">
        <f t="shared" si="4"/>
        <v>3185</v>
      </c>
      <c r="C251" s="58">
        <v>233</v>
      </c>
      <c r="D251" s="24">
        <f>6+2946</f>
        <v>2952</v>
      </c>
      <c r="E251" s="24"/>
      <c r="F251" s="24"/>
      <c r="G251" s="24"/>
      <c r="H251" s="24"/>
      <c r="I251" s="24"/>
    </row>
    <row r="252" spans="1:9" ht="15">
      <c r="A252" s="45" t="s">
        <v>48</v>
      </c>
      <c r="B252" s="44">
        <f t="shared" si="4"/>
        <v>88656</v>
      </c>
      <c r="C252" s="24">
        <v>79887</v>
      </c>
      <c r="D252" s="24">
        <v>8769</v>
      </c>
      <c r="E252" s="24">
        <v>0</v>
      </c>
      <c r="F252" s="24">
        <v>0</v>
      </c>
      <c r="G252" s="24"/>
      <c r="H252" s="24">
        <v>0</v>
      </c>
      <c r="I252" s="24">
        <v>0</v>
      </c>
    </row>
    <row r="253" spans="1:9" ht="15">
      <c r="A253" s="45" t="s">
        <v>49</v>
      </c>
      <c r="B253" s="44">
        <f t="shared" si="5" ref="B253:B333">=SUM(C253:I253)</f>
        <v>283707</v>
      </c>
      <c r="C253" s="24">
        <v>249560</v>
      </c>
      <c r="D253" s="24">
        <v>34147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</row>
    <row r="254" spans="1:9" ht="30">
      <c r="A254" s="45" t="s">
        <v>396</v>
      </c>
      <c r="B254" s="44">
        <f t="shared" si="5"/>
        <v>120891</v>
      </c>
      <c r="C254" s="24">
        <f>44160+39999+12031+C255</f>
        <v>97552</v>
      </c>
      <c r="D254" s="38">
        <f>6503+16836</f>
        <v>23339</v>
      </c>
      <c r="E254" s="24">
        <v>0</v>
      </c>
      <c r="F254" s="24">
        <v>0</v>
      </c>
      <c r="G254" s="24"/>
      <c r="H254" s="24">
        <v>0</v>
      </c>
      <c r="I254" s="24">
        <v>0</v>
      </c>
    </row>
    <row r="255" spans="1:9" ht="15">
      <c r="A255" s="60" t="s">
        <v>391</v>
      </c>
      <c r="B255" s="44">
        <f t="shared" si="5"/>
        <v>1362</v>
      </c>
      <c r="C255" s="24">
        <v>1362</v>
      </c>
      <c r="D255" s="38"/>
      <c r="E255" s="24"/>
      <c r="F255" s="24"/>
      <c r="G255" s="24"/>
      <c r="H255" s="24"/>
      <c r="I255" s="24"/>
    </row>
    <row r="256" spans="1:9" ht="30">
      <c r="A256" s="48" t="s">
        <v>261</v>
      </c>
      <c r="B256" s="44">
        <f>SUM(C256:I256)</f>
        <v>221090</v>
      </c>
      <c r="C256" s="24">
        <f>176259+C257</f>
        <v>192475</v>
      </c>
      <c r="D256" s="38">
        <f>26731+D257</f>
        <v>28615</v>
      </c>
      <c r="E256" s="24"/>
      <c r="F256" s="24"/>
      <c r="G256" s="24"/>
      <c r="H256" s="24"/>
      <c r="I256" s="24"/>
    </row>
    <row r="257" spans="1:9" ht="15">
      <c r="A257" s="61" t="s">
        <v>391</v>
      </c>
      <c r="B257" s="59">
        <f>SUM(C257:I257)</f>
        <v>18100</v>
      </c>
      <c r="C257" s="58">
        <v>16216</v>
      </c>
      <c r="D257" s="38">
        <v>1884</v>
      </c>
      <c r="E257" s="24"/>
      <c r="F257" s="24"/>
      <c r="G257" s="24"/>
      <c r="H257" s="24"/>
      <c r="I257" s="24"/>
    </row>
    <row r="258" spans="1:9" ht="30">
      <c r="A258" s="48" t="s">
        <v>262</v>
      </c>
      <c r="B258" s="44">
        <f>SUM(C258:I258)</f>
        <v>192289</v>
      </c>
      <c r="C258" s="24">
        <f>149030+C259</f>
        <v>149390</v>
      </c>
      <c r="D258" s="38">
        <v>42824</v>
      </c>
      <c r="E258" s="24"/>
      <c r="F258" s="24"/>
      <c r="G258" s="24">
        <v>75</v>
      </c>
      <c r="H258" s="24"/>
      <c r="I258" s="24"/>
    </row>
    <row r="259" spans="1:9" ht="15">
      <c r="A259" s="61" t="s">
        <v>391</v>
      </c>
      <c r="B259" s="59">
        <f>SUM(C259:I259)</f>
        <v>360</v>
      </c>
      <c r="C259" s="58">
        <v>360</v>
      </c>
      <c r="D259" s="68"/>
      <c r="E259" s="24"/>
      <c r="F259" s="24"/>
      <c r="G259" s="24"/>
      <c r="H259" s="24"/>
      <c r="I259" s="24"/>
    </row>
    <row r="260" spans="1:9" ht="15">
      <c r="A260" s="45" t="s">
        <v>149</v>
      </c>
      <c r="B260" s="44">
        <f t="shared" si="5"/>
        <v>1050845</v>
      </c>
      <c r="C260" s="24">
        <f>827512+C261</f>
        <v>828517</v>
      </c>
      <c r="D260" s="38">
        <f>215816+D261</f>
        <v>215828</v>
      </c>
      <c r="E260" s="24">
        <v>0</v>
      </c>
      <c r="F260" s="24">
        <v>0</v>
      </c>
      <c r="G260" s="24">
        <v>6500</v>
      </c>
      <c r="H260" s="24">
        <v>0</v>
      </c>
      <c r="I260" s="24">
        <v>0</v>
      </c>
    </row>
    <row r="261" spans="1:9" ht="15">
      <c r="A261" s="60" t="s">
        <v>391</v>
      </c>
      <c r="B261" s="59">
        <f t="shared" si="5"/>
        <v>1017</v>
      </c>
      <c r="C261" s="58">
        <v>1005</v>
      </c>
      <c r="D261" s="68">
        <v>12</v>
      </c>
      <c r="E261" s="24"/>
      <c r="F261" s="24"/>
      <c r="G261" s="24"/>
      <c r="H261" s="24"/>
      <c r="I261" s="24"/>
    </row>
    <row r="262" spans="1:9" ht="15">
      <c r="A262" s="45" t="s">
        <v>50</v>
      </c>
      <c r="B262" s="44">
        <f t="shared" si="5"/>
        <v>404661</v>
      </c>
      <c r="C262" s="24">
        <v>351541</v>
      </c>
      <c r="D262" s="38">
        <v>51500</v>
      </c>
      <c r="E262" s="24">
        <v>0</v>
      </c>
      <c r="F262" s="24">
        <v>0</v>
      </c>
      <c r="G262" s="24">
        <v>1620</v>
      </c>
      <c r="H262" s="24">
        <v>0</v>
      </c>
      <c r="I262" s="24">
        <v>0</v>
      </c>
    </row>
    <row r="263" spans="1:9" ht="15">
      <c r="A263" s="45" t="s">
        <v>110</v>
      </c>
      <c r="B263" s="44">
        <f t="shared" si="5"/>
        <v>78179</v>
      </c>
      <c r="C263" s="24">
        <f>55164+C264</f>
        <v>59277</v>
      </c>
      <c r="D263" s="38">
        <f>20902+D264</f>
        <v>18902</v>
      </c>
      <c r="E263" s="24">
        <v>0</v>
      </c>
      <c r="F263" s="24">
        <v>0</v>
      </c>
      <c r="G263" s="24"/>
      <c r="H263" s="24">
        <v>0</v>
      </c>
      <c r="I263" s="24">
        <v>0</v>
      </c>
    </row>
    <row r="264" spans="1:9" ht="15">
      <c r="A264" s="60" t="s">
        <v>391</v>
      </c>
      <c r="B264" s="44">
        <f t="shared" si="5"/>
        <v>2113</v>
      </c>
      <c r="C264" s="24">
        <f>2000+2113</f>
        <v>4113</v>
      </c>
      <c r="D264" s="38">
        <v>-2000</v>
      </c>
      <c r="E264" s="24"/>
      <c r="F264" s="24"/>
      <c r="G264" s="24"/>
      <c r="H264" s="24"/>
      <c r="I264" s="24"/>
    </row>
    <row r="265" spans="1:9" ht="15">
      <c r="A265" s="45" t="s">
        <v>51</v>
      </c>
      <c r="B265" s="44">
        <f>SUM(C265:I265)</f>
        <v>988748</v>
      </c>
      <c r="C265" s="24">
        <v>787984</v>
      </c>
      <c r="D265" s="38">
        <f>164526+D266</f>
        <v>190810</v>
      </c>
      <c r="E265" s="24">
        <v>0</v>
      </c>
      <c r="F265" s="24">
        <v>0</v>
      </c>
      <c r="G265" s="24">
        <v>9954</v>
      </c>
      <c r="H265" s="24">
        <v>0</v>
      </c>
      <c r="I265" s="24">
        <v>0</v>
      </c>
    </row>
    <row r="266" spans="1:9" ht="15">
      <c r="A266" s="60" t="s">
        <v>391</v>
      </c>
      <c r="B266" s="59">
        <f t="shared" si="5"/>
        <v>26284</v>
      </c>
      <c r="C266" s="58">
        <v>0</v>
      </c>
      <c r="D266" s="68">
        <f>4038+22246</f>
        <v>26284</v>
      </c>
      <c r="E266" s="58"/>
      <c r="F266" s="58"/>
      <c r="G266" s="58"/>
      <c r="H266" s="24"/>
      <c r="I266" s="24"/>
    </row>
    <row r="267" spans="1:9" ht="30">
      <c r="A267" s="45" t="s">
        <v>112</v>
      </c>
      <c r="B267" s="44">
        <f t="shared" si="5"/>
        <v>982258</v>
      </c>
      <c r="C267" s="24">
        <f>754759+C268</f>
        <v>755728</v>
      </c>
      <c r="D267" s="38">
        <f>188941+D268</f>
        <v>210744</v>
      </c>
      <c r="E267" s="24">
        <v>0</v>
      </c>
      <c r="F267" s="24">
        <v>0</v>
      </c>
      <c r="G267" s="24">
        <v>1726</v>
      </c>
      <c r="H267" s="24">
        <v>14060</v>
      </c>
      <c r="I267" s="24">
        <v>0</v>
      </c>
    </row>
    <row r="268" spans="1:9" ht="15">
      <c r="A268" s="60" t="s">
        <v>391</v>
      </c>
      <c r="B268" s="59">
        <f t="shared" si="5"/>
        <v>22772</v>
      </c>
      <c r="C268" s="24">
        <f>633+336</f>
        <v>969</v>
      </c>
      <c r="D268" s="38">
        <f>18+5590+16195</f>
        <v>21803</v>
      </c>
      <c r="E268" s="24"/>
      <c r="F268" s="24"/>
      <c r="G268" s="24"/>
      <c r="H268" s="24"/>
      <c r="I268" s="24"/>
    </row>
    <row r="269" spans="1:9" ht="15">
      <c r="A269" s="45" t="s">
        <v>277</v>
      </c>
      <c r="B269" s="44">
        <f t="shared" si="5"/>
        <v>416865</v>
      </c>
      <c r="C269" s="24">
        <v>327190</v>
      </c>
      <c r="D269" s="38">
        <f>71415+D270</f>
        <v>88675</v>
      </c>
      <c r="E269" s="24">
        <v>0</v>
      </c>
      <c r="F269" s="24">
        <v>0</v>
      </c>
      <c r="G269" s="24">
        <v>1000</v>
      </c>
      <c r="H269" s="24">
        <v>0</v>
      </c>
      <c r="I269" s="24">
        <v>0</v>
      </c>
    </row>
    <row r="270" spans="1:9" ht="15">
      <c r="A270" s="60" t="s">
        <v>391</v>
      </c>
      <c r="B270" s="59">
        <f t="shared" si="5"/>
        <v>17260</v>
      </c>
      <c r="C270" s="58">
        <v>0</v>
      </c>
      <c r="D270" s="68">
        <f>16560+700</f>
        <v>17260</v>
      </c>
      <c r="E270" s="24"/>
      <c r="F270" s="24"/>
      <c r="G270" s="24"/>
      <c r="H270" s="24"/>
      <c r="I270" s="24"/>
    </row>
    <row r="271" spans="1:9" ht="30">
      <c r="A271" s="45" t="s">
        <v>390</v>
      </c>
      <c r="B271" s="44">
        <f t="shared" si="5"/>
        <v>42735</v>
      </c>
      <c r="C271" s="24">
        <v>21451</v>
      </c>
      <c r="D271" s="38">
        <f>24184+D272</f>
        <v>21284</v>
      </c>
      <c r="E271" s="24">
        <v>0</v>
      </c>
      <c r="F271" s="24">
        <v>0</v>
      </c>
      <c r="G271" s="24"/>
      <c r="H271" s="24">
        <v>0</v>
      </c>
      <c r="I271" s="24">
        <v>0</v>
      </c>
    </row>
    <row r="272" spans="1:9" ht="15">
      <c r="A272" s="60" t="s">
        <v>391</v>
      </c>
      <c r="B272" s="44">
        <f t="shared" si="5"/>
        <v>-2900</v>
      </c>
      <c r="C272" s="24"/>
      <c r="D272" s="38">
        <v>-2900</v>
      </c>
      <c r="E272" s="24"/>
      <c r="F272" s="24"/>
      <c r="G272" s="24"/>
      <c r="H272" s="24"/>
      <c r="I272" s="24"/>
    </row>
    <row r="273" spans="1:9" ht="15">
      <c r="A273" s="45" t="s">
        <v>394</v>
      </c>
      <c r="B273" s="44">
        <f t="shared" si="5"/>
        <v>683479</v>
      </c>
      <c r="C273" s="24">
        <f>571596+C274</f>
        <v>576650</v>
      </c>
      <c r="D273" s="38">
        <f>89954+D274</f>
        <v>105533</v>
      </c>
      <c r="E273" s="24">
        <v>0</v>
      </c>
      <c r="F273" s="24">
        <v>0</v>
      </c>
      <c r="G273" s="24">
        <v>1296</v>
      </c>
      <c r="H273" s="24">
        <v>0</v>
      </c>
      <c r="I273" s="24">
        <v>0</v>
      </c>
    </row>
    <row r="274" spans="1:9" ht="15">
      <c r="A274" s="60" t="s">
        <v>391</v>
      </c>
      <c r="B274" s="59">
        <f t="shared" si="5"/>
        <v>20633</v>
      </c>
      <c r="C274" s="58">
        <f>2768+2286</f>
        <v>5054</v>
      </c>
      <c r="D274" s="38">
        <f>15555+24</f>
        <v>15579</v>
      </c>
      <c r="E274" s="24"/>
      <c r="F274" s="24"/>
      <c r="G274" s="24"/>
      <c r="H274" s="24"/>
      <c r="I274" s="24"/>
    </row>
    <row r="275" spans="1:9" ht="30">
      <c r="A275" s="45" t="s">
        <v>395</v>
      </c>
      <c r="B275" s="44">
        <f t="shared" si="5"/>
        <v>65581</v>
      </c>
      <c r="C275" s="24">
        <f>15868+26801+8479</f>
        <v>51148</v>
      </c>
      <c r="D275" s="38">
        <v>14433</v>
      </c>
      <c r="E275" s="24">
        <v>0</v>
      </c>
      <c r="F275" s="24">
        <v>0</v>
      </c>
      <c r="G275" s="24"/>
      <c r="H275" s="24">
        <v>0</v>
      </c>
      <c r="I275" s="24">
        <v>0</v>
      </c>
    </row>
    <row r="276" spans="1:9" ht="15">
      <c r="A276" s="45" t="s">
        <v>52</v>
      </c>
      <c r="B276" s="44">
        <f t="shared" si="5"/>
        <v>611506</v>
      </c>
      <c r="C276" s="24">
        <v>574295</v>
      </c>
      <c r="D276" s="38">
        <f>1528+22445+11230+168</f>
        <v>35371</v>
      </c>
      <c r="E276" s="24">
        <v>0</v>
      </c>
      <c r="F276" s="24">
        <v>0</v>
      </c>
      <c r="G276" s="24">
        <v>1840</v>
      </c>
      <c r="H276" s="24">
        <v>0</v>
      </c>
      <c r="I276" s="24">
        <v>0</v>
      </c>
    </row>
    <row r="277" spans="1:9" ht="15">
      <c r="A277" s="45" t="s">
        <v>53</v>
      </c>
      <c r="B277" s="44">
        <f t="shared" si="5"/>
        <v>180856</v>
      </c>
      <c r="C277" s="24">
        <v>152963</v>
      </c>
      <c r="D277" s="38">
        <v>26413</v>
      </c>
      <c r="E277" s="24">
        <v>0</v>
      </c>
      <c r="F277" s="24">
        <v>0</v>
      </c>
      <c r="G277" s="24">
        <v>1480</v>
      </c>
      <c r="H277" s="24">
        <v>0</v>
      </c>
      <c r="I277" s="24">
        <v>0</v>
      </c>
    </row>
    <row r="278" spans="1:9" ht="15">
      <c r="A278" s="45" t="s">
        <v>54</v>
      </c>
      <c r="B278" s="44">
        <f>SUM(C278:I278)</f>
        <v>398390</v>
      </c>
      <c r="C278" s="24">
        <v>345754</v>
      </c>
      <c r="D278" s="38">
        <f>51191+D279</f>
        <v>52636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</row>
    <row r="279" spans="1:9" ht="15">
      <c r="A279" s="60" t="s">
        <v>391</v>
      </c>
      <c r="B279" s="59">
        <f>SUM(C279:I279)</f>
        <v>1445</v>
      </c>
      <c r="C279" s="58">
        <v>0</v>
      </c>
      <c r="D279" s="38">
        <v>1445</v>
      </c>
      <c r="E279" s="24"/>
      <c r="F279" s="24"/>
      <c r="G279" s="24"/>
      <c r="H279" s="24"/>
      <c r="I279" s="24"/>
    </row>
    <row r="280" spans="1:9" ht="15">
      <c r="A280" s="45" t="s">
        <v>111</v>
      </c>
      <c r="B280" s="44">
        <f t="shared" si="5"/>
        <v>190515</v>
      </c>
      <c r="C280" s="24">
        <v>82483</v>
      </c>
      <c r="D280" s="38">
        <v>103193</v>
      </c>
      <c r="E280" s="24">
        <v>0</v>
      </c>
      <c r="F280" s="24">
        <v>0</v>
      </c>
      <c r="G280" s="24">
        <v>4839</v>
      </c>
      <c r="H280" s="24">
        <v>0</v>
      </c>
      <c r="I280" s="24">
        <v>0</v>
      </c>
    </row>
    <row r="281" spans="1:9" ht="30">
      <c r="A281" s="45" t="s">
        <v>397</v>
      </c>
      <c r="B281" s="44">
        <f t="shared" si="5"/>
        <v>201026</v>
      </c>
      <c r="C281" s="24">
        <v>166687</v>
      </c>
      <c r="D281" s="38">
        <f>34339+D282</f>
        <v>34325</v>
      </c>
      <c r="E281" s="24">
        <v>0</v>
      </c>
      <c r="F281" s="24">
        <v>0</v>
      </c>
      <c r="G281" s="24">
        <f>G282</f>
        <v>14</v>
      </c>
      <c r="H281" s="24">
        <v>0</v>
      </c>
      <c r="I281" s="24">
        <v>0</v>
      </c>
    </row>
    <row r="282" spans="1:9" ht="15">
      <c r="A282" s="60" t="s">
        <v>391</v>
      </c>
      <c r="B282" s="59">
        <f t="shared" si="5"/>
        <v>0</v>
      </c>
      <c r="C282" s="58">
        <v>0</v>
      </c>
      <c r="D282" s="38">
        <v>-14</v>
      </c>
      <c r="E282" s="24"/>
      <c r="F282" s="24"/>
      <c r="G282" s="24">
        <v>14</v>
      </c>
      <c r="H282" s="24"/>
      <c r="I282" s="24"/>
    </row>
    <row r="283" spans="1:9" ht="15">
      <c r="A283" s="50" t="s">
        <v>263</v>
      </c>
      <c r="B283" s="44">
        <f>SUM(C283:I283)</f>
        <v>467630</v>
      </c>
      <c r="C283" s="34">
        <v>418832</v>
      </c>
      <c r="D283" s="69">
        <f>42791+D284</f>
        <v>46598</v>
      </c>
      <c r="E283" s="35"/>
      <c r="F283" s="35"/>
      <c r="G283" s="34">
        <v>2200</v>
      </c>
      <c r="H283" s="35"/>
      <c r="I283" s="35"/>
    </row>
    <row r="284" spans="1:9" ht="15">
      <c r="A284" s="62" t="s">
        <v>391</v>
      </c>
      <c r="B284" s="44">
        <f>SUM(C284:I284)</f>
        <v>3807</v>
      </c>
      <c r="C284" s="34"/>
      <c r="D284" s="69">
        <v>3807</v>
      </c>
      <c r="E284" s="35"/>
      <c r="F284" s="35"/>
      <c r="G284" s="34"/>
      <c r="H284" s="35"/>
      <c r="I284" s="35"/>
    </row>
    <row r="285" spans="1:9" ht="15">
      <c r="A285" s="50" t="s">
        <v>283</v>
      </c>
      <c r="B285" s="44">
        <f t="shared" si="6" ref="B285:B300">=SUM(C285:I285)</f>
        <v>776022</v>
      </c>
      <c r="C285" s="28">
        <f>610488+C286</f>
        <v>610739</v>
      </c>
      <c r="D285" s="70">
        <v>124598</v>
      </c>
      <c r="E285" s="27"/>
      <c r="F285" s="27"/>
      <c r="G285" s="39">
        <v>40685</v>
      </c>
      <c r="H285" s="27"/>
      <c r="I285" s="27"/>
    </row>
    <row r="286" spans="1:9" ht="15">
      <c r="A286" s="62" t="s">
        <v>393</v>
      </c>
      <c r="B286" s="59">
        <f t="shared" si="6"/>
        <v>251</v>
      </c>
      <c r="C286" s="36">
        <v>251</v>
      </c>
      <c r="D286" s="71">
        <v>0</v>
      </c>
      <c r="E286" s="27"/>
      <c r="F286" s="27"/>
      <c r="G286" s="39"/>
      <c r="H286" s="27"/>
      <c r="I286" s="27"/>
    </row>
    <row r="287" spans="1:9" ht="15">
      <c r="A287" s="50" t="s">
        <v>264</v>
      </c>
      <c r="B287" s="44">
        <f t="shared" si="6"/>
        <v>49874</v>
      </c>
      <c r="C287" s="31">
        <v>36403</v>
      </c>
      <c r="D287" s="72">
        <v>13471</v>
      </c>
      <c r="E287" s="64"/>
      <c r="F287" s="64"/>
      <c r="G287" s="64"/>
      <c r="H287" s="64"/>
      <c r="I287" s="64"/>
    </row>
    <row r="288" spans="1:9" ht="15">
      <c r="A288" s="53" t="s">
        <v>267</v>
      </c>
      <c r="B288" s="44">
        <f>SUM(C288:I288)</f>
        <v>177764</v>
      </c>
      <c r="C288" s="24">
        <v>161101</v>
      </c>
      <c r="D288" s="38">
        <f>14384+D289</f>
        <v>15763</v>
      </c>
      <c r="E288" s="24"/>
      <c r="F288" s="24"/>
      <c r="G288" s="24">
        <v>900</v>
      </c>
      <c r="H288" s="24"/>
      <c r="I288" s="54"/>
    </row>
    <row r="289" spans="1:9" ht="15">
      <c r="A289" s="62" t="s">
        <v>393</v>
      </c>
      <c r="B289" s="59">
        <f>SUM(C289:I289)</f>
        <v>1379</v>
      </c>
      <c r="C289" s="58">
        <v>0</v>
      </c>
      <c r="D289" s="38">
        <v>1379</v>
      </c>
      <c r="E289" s="24"/>
      <c r="F289" s="24"/>
      <c r="G289" s="24"/>
      <c r="H289" s="24"/>
      <c r="I289" s="54"/>
    </row>
    <row r="290" spans="1:9" ht="15">
      <c r="A290" s="45" t="s">
        <v>268</v>
      </c>
      <c r="B290" s="44">
        <f t="shared" si="6"/>
        <v>556248</v>
      </c>
      <c r="C290" s="24">
        <v>467610</v>
      </c>
      <c r="D290" s="38">
        <f>82922+D291</f>
        <v>87345</v>
      </c>
      <c r="E290" s="24"/>
      <c r="F290" s="24"/>
      <c r="G290" s="24">
        <v>1293</v>
      </c>
      <c r="H290" s="24"/>
      <c r="I290" s="24"/>
    </row>
    <row r="291" spans="1:9" ht="15">
      <c r="A291" s="60" t="s">
        <v>391</v>
      </c>
      <c r="B291" s="59">
        <f t="shared" si="6"/>
        <v>4423</v>
      </c>
      <c r="C291" s="58">
        <v>0</v>
      </c>
      <c r="D291" s="68">
        <f>4423</f>
        <v>4423</v>
      </c>
      <c r="E291" s="24"/>
      <c r="F291" s="24"/>
      <c r="G291" s="24"/>
      <c r="H291" s="24"/>
      <c r="I291" s="24"/>
    </row>
    <row r="292" spans="1:9" ht="15">
      <c r="A292" s="48" t="s">
        <v>259</v>
      </c>
      <c r="B292" s="44">
        <f t="shared" si="6"/>
        <v>338855</v>
      </c>
      <c r="C292" s="25">
        <f>268062+C293</f>
        <v>270560</v>
      </c>
      <c r="D292" s="73">
        <f>47722+D293</f>
        <v>66888</v>
      </c>
      <c r="E292" s="25"/>
      <c r="F292" s="25"/>
      <c r="G292" s="25">
        <f>800+G293</f>
        <v>1407</v>
      </c>
      <c r="H292" s="25"/>
      <c r="I292" s="25"/>
    </row>
    <row r="293" spans="1:9" ht="15">
      <c r="A293" s="61" t="s">
        <v>391</v>
      </c>
      <c r="B293" s="59">
        <f t="shared" si="6"/>
        <v>22271</v>
      </c>
      <c r="C293" s="63">
        <f>732+1766</f>
        <v>2498</v>
      </c>
      <c r="D293" s="73">
        <f>24+18042+1100</f>
        <v>19166</v>
      </c>
      <c r="E293" s="25"/>
      <c r="F293" s="25"/>
      <c r="G293" s="25">
        <v>607</v>
      </c>
      <c r="H293" s="25"/>
      <c r="I293" s="25"/>
    </row>
    <row r="294" spans="1:9" ht="15">
      <c r="A294" s="48" t="s">
        <v>258</v>
      </c>
      <c r="B294" s="44">
        <f t="shared" si="6"/>
        <v>583537</v>
      </c>
      <c r="C294" s="24">
        <f>484169+C295</f>
        <v>484487</v>
      </c>
      <c r="D294" s="38">
        <f>94649+D295</f>
        <v>96850</v>
      </c>
      <c r="E294" s="24"/>
      <c r="F294" s="24"/>
      <c r="G294" s="24">
        <v>2200</v>
      </c>
      <c r="H294" s="24"/>
      <c r="I294" s="24"/>
    </row>
    <row r="295" spans="1:9" ht="15">
      <c r="A295" s="61" t="s">
        <v>391</v>
      </c>
      <c r="B295" s="59">
        <f t="shared" si="6"/>
        <v>2519</v>
      </c>
      <c r="C295" s="58">
        <v>318</v>
      </c>
      <c r="D295" s="68">
        <f>2201</f>
        <v>2201</v>
      </c>
      <c r="E295" s="24"/>
      <c r="F295" s="24"/>
      <c r="G295" s="24"/>
      <c r="H295" s="24"/>
      <c r="I295" s="24"/>
    </row>
    <row r="296" spans="1:9" ht="15">
      <c r="A296" s="48" t="s">
        <v>257</v>
      </c>
      <c r="B296" s="44">
        <f>SUM(C296:I296)</f>
        <v>272985</v>
      </c>
      <c r="C296" s="24">
        <v>222592</v>
      </c>
      <c r="D296" s="38">
        <v>48451</v>
      </c>
      <c r="E296" s="24"/>
      <c r="F296" s="24"/>
      <c r="G296" s="24">
        <v>1942</v>
      </c>
      <c r="H296" s="24"/>
      <c r="I296" s="24"/>
    </row>
    <row r="297" spans="1:9" ht="15">
      <c r="A297" s="48" t="s">
        <v>269</v>
      </c>
      <c r="B297" s="44">
        <f t="shared" si="6"/>
        <v>603953</v>
      </c>
      <c r="C297" s="24">
        <f>504575+C298</f>
        <v>504953</v>
      </c>
      <c r="D297" s="38">
        <f>95692+D298</f>
        <v>95704</v>
      </c>
      <c r="E297" s="24"/>
      <c r="F297" s="24"/>
      <c r="G297" s="24">
        <v>3296</v>
      </c>
      <c r="H297" s="24"/>
      <c r="I297" s="24"/>
    </row>
    <row r="298" spans="1:9" ht="15">
      <c r="A298" s="61" t="s">
        <v>391</v>
      </c>
      <c r="B298" s="59">
        <f t="shared" si="6"/>
        <v>390</v>
      </c>
      <c r="C298" s="58">
        <v>378</v>
      </c>
      <c r="D298" s="38">
        <v>12</v>
      </c>
      <c r="E298" s="24"/>
      <c r="F298" s="24"/>
      <c r="G298" s="24"/>
      <c r="H298" s="24"/>
      <c r="I298" s="24"/>
    </row>
    <row r="299" spans="1:9" ht="30">
      <c r="A299" s="48" t="s">
        <v>256</v>
      </c>
      <c r="B299" s="44">
        <f t="shared" si="6"/>
        <v>89102</v>
      </c>
      <c r="C299" s="24">
        <v>71478</v>
      </c>
      <c r="D299" s="38">
        <v>17624</v>
      </c>
      <c r="E299" s="24"/>
      <c r="F299" s="24"/>
      <c r="G299" s="24"/>
      <c r="H299" s="24"/>
      <c r="I299" s="24"/>
    </row>
    <row r="300" spans="1:9" ht="15">
      <c r="A300" s="48" t="s">
        <v>255</v>
      </c>
      <c r="B300" s="44">
        <f t="shared" si="6"/>
        <v>170229</v>
      </c>
      <c r="C300" s="24">
        <v>165510</v>
      </c>
      <c r="D300" s="38">
        <v>4719</v>
      </c>
      <c r="E300" s="24"/>
      <c r="F300" s="24"/>
      <c r="G300" s="24">
        <v>0</v>
      </c>
      <c r="H300" s="24"/>
      <c r="I300" s="24"/>
    </row>
    <row r="301" spans="1:9" ht="15">
      <c r="A301" s="45" t="s">
        <v>265</v>
      </c>
      <c r="B301" s="44">
        <f t="shared" si="5"/>
        <v>279791</v>
      </c>
      <c r="C301" s="24">
        <v>266954</v>
      </c>
      <c r="D301" s="38">
        <v>11837</v>
      </c>
      <c r="E301" s="24">
        <v>0</v>
      </c>
      <c r="F301" s="24">
        <v>0</v>
      </c>
      <c r="G301" s="24">
        <v>1000</v>
      </c>
      <c r="H301" s="24">
        <v>0</v>
      </c>
      <c r="I301" s="24">
        <v>0</v>
      </c>
    </row>
    <row r="302" spans="1:9" ht="15">
      <c r="A302" s="45" t="s">
        <v>290</v>
      </c>
      <c r="B302" s="44">
        <f t="shared" si="5"/>
        <v>51940</v>
      </c>
      <c r="C302" s="24">
        <v>6014</v>
      </c>
      <c r="D302" s="38">
        <v>38426</v>
      </c>
      <c r="E302" s="24">
        <v>0</v>
      </c>
      <c r="F302" s="24">
        <v>0</v>
      </c>
      <c r="G302" s="24"/>
      <c r="H302" s="24">
        <v>7500</v>
      </c>
      <c r="I302" s="24">
        <v>0</v>
      </c>
    </row>
    <row r="303" spans="1:9" ht="30">
      <c r="A303" s="45" t="s">
        <v>55</v>
      </c>
      <c r="B303" s="44">
        <f t="shared" si="5"/>
        <v>10740</v>
      </c>
      <c r="C303" s="24">
        <v>0</v>
      </c>
      <c r="D303" s="38">
        <v>0</v>
      </c>
      <c r="E303" s="24">
        <v>0</v>
      </c>
      <c r="F303" s="24">
        <v>0</v>
      </c>
      <c r="G303" s="24"/>
      <c r="H303" s="24">
        <f>20740+H304</f>
        <v>10740</v>
      </c>
      <c r="I303" s="24">
        <v>0</v>
      </c>
    </row>
    <row r="304" spans="1:9" ht="15">
      <c r="A304" s="60" t="s">
        <v>391</v>
      </c>
      <c r="B304" s="44">
        <f t="shared" si="5"/>
        <v>-10000</v>
      </c>
      <c r="C304" s="24"/>
      <c r="D304" s="38"/>
      <c r="E304" s="24"/>
      <c r="F304" s="24"/>
      <c r="G304" s="24"/>
      <c r="H304" s="24">
        <v>-10000</v>
      </c>
      <c r="I304" s="24"/>
    </row>
    <row r="305" spans="1:9" ht="30">
      <c r="A305" s="47" t="s">
        <v>147</v>
      </c>
      <c r="B305" s="44">
        <f t="shared" si="5"/>
        <v>151810</v>
      </c>
      <c r="C305" s="24">
        <v>0</v>
      </c>
      <c r="D305" s="38">
        <f>5730+D306</f>
        <v>1350</v>
      </c>
      <c r="E305" s="24">
        <v>0</v>
      </c>
      <c r="F305" s="24">
        <v>0</v>
      </c>
      <c r="G305" s="24"/>
      <c r="H305" s="24">
        <v>0</v>
      </c>
      <c r="I305" s="24">
        <f>135730+I306</f>
        <v>150460</v>
      </c>
    </row>
    <row r="306" spans="1:9" ht="15">
      <c r="A306" s="77" t="s">
        <v>391</v>
      </c>
      <c r="B306" s="44">
        <f t="shared" si="5"/>
        <v>10350</v>
      </c>
      <c r="C306" s="24"/>
      <c r="D306" s="38">
        <v>-4380</v>
      </c>
      <c r="E306" s="24"/>
      <c r="F306" s="24"/>
      <c r="G306" s="24"/>
      <c r="H306" s="24"/>
      <c r="I306" s="24">
        <v>14730</v>
      </c>
    </row>
    <row r="307" spans="1:9" ht="30">
      <c r="A307" s="47" t="s">
        <v>354</v>
      </c>
      <c r="B307" s="44">
        <f t="shared" si="5"/>
        <v>10000</v>
      </c>
      <c r="C307" s="24"/>
      <c r="D307" s="38"/>
      <c r="E307" s="24"/>
      <c r="F307" s="24"/>
      <c r="G307" s="24">
        <v>10000</v>
      </c>
      <c r="H307" s="24"/>
      <c r="I307" s="24"/>
    </row>
    <row r="308" spans="1:9" ht="35.45" customHeight="1">
      <c r="A308" s="47" t="s">
        <v>367</v>
      </c>
      <c r="B308" s="44">
        <f t="shared" si="5"/>
        <v>81261</v>
      </c>
      <c r="C308" s="24">
        <f>47263+C309</f>
        <v>59622</v>
      </c>
      <c r="D308" s="38">
        <f>17000+D309</f>
        <v>6919</v>
      </c>
      <c r="E308" s="24">
        <f>E309</f>
        <v>14720</v>
      </c>
      <c r="F308" s="24"/>
      <c r="G308" s="24"/>
      <c r="H308" s="24"/>
      <c r="I308" s="24"/>
    </row>
    <row r="309" spans="1:9" ht="24" customHeight="1">
      <c r="A309" s="77" t="s">
        <v>391</v>
      </c>
      <c r="B309" s="44">
        <f t="shared" si="5"/>
        <v>16998</v>
      </c>
      <c r="C309" s="24">
        <v>12359</v>
      </c>
      <c r="D309" s="38">
        <v>-10081</v>
      </c>
      <c r="E309" s="24">
        <v>14720</v>
      </c>
      <c r="F309" s="24"/>
      <c r="G309" s="24"/>
      <c r="H309" s="24"/>
      <c r="I309" s="24"/>
    </row>
    <row r="310" spans="1:9" ht="30">
      <c r="A310" s="48" t="s">
        <v>260</v>
      </c>
      <c r="B310" s="44">
        <f t="shared" si="5"/>
        <v>80450</v>
      </c>
      <c r="C310" s="24">
        <v>67585</v>
      </c>
      <c r="D310" s="38">
        <f>D311</f>
        <v>12865</v>
      </c>
      <c r="E310" s="24"/>
      <c r="F310" s="24"/>
      <c r="G310" s="24"/>
      <c r="H310" s="24"/>
      <c r="I310" s="24"/>
    </row>
    <row r="311" spans="1:9" ht="22.5" customHeight="1">
      <c r="A311" s="61" t="s">
        <v>391</v>
      </c>
      <c r="B311" s="44">
        <f t="shared" si="5"/>
        <v>12865</v>
      </c>
      <c r="C311" s="24"/>
      <c r="D311" s="38">
        <v>12865</v>
      </c>
      <c r="E311" s="24"/>
      <c r="F311" s="24"/>
      <c r="G311" s="24"/>
      <c r="H311" s="24"/>
      <c r="I311" s="24"/>
    </row>
    <row r="312" spans="1:9" ht="45">
      <c r="A312" s="48" t="s">
        <v>368</v>
      </c>
      <c r="B312" s="44">
        <f t="shared" si="5"/>
        <v>5251</v>
      </c>
      <c r="C312" s="24"/>
      <c r="D312" s="38">
        <v>5251</v>
      </c>
      <c r="E312" s="24"/>
      <c r="F312" s="24"/>
      <c r="G312" s="24"/>
      <c r="H312" s="24"/>
      <c r="I312" s="24"/>
    </row>
    <row r="313" spans="1:9" ht="15">
      <c r="A313" s="48" t="s">
        <v>130</v>
      </c>
      <c r="B313" s="44">
        <f t="shared" si="5"/>
        <v>18456</v>
      </c>
      <c r="C313" s="24"/>
      <c r="D313" s="38">
        <v>18450</v>
      </c>
      <c r="E313" s="24"/>
      <c r="F313" s="24"/>
      <c r="G313" s="24"/>
      <c r="H313" s="24"/>
      <c r="I313" s="24">
        <v>6</v>
      </c>
    </row>
    <row r="314" spans="1:9" ht="15">
      <c r="A314" s="48" t="s">
        <v>343</v>
      </c>
      <c r="B314" s="44">
        <f t="shared" si="5"/>
        <v>21470</v>
      </c>
      <c r="C314" s="24">
        <v>10788</v>
      </c>
      <c r="D314" s="38">
        <v>10682</v>
      </c>
      <c r="E314" s="24"/>
      <c r="F314" s="24"/>
      <c r="G314" s="24"/>
      <c r="H314" s="24"/>
      <c r="I314" s="24"/>
    </row>
    <row r="315" spans="1:9" ht="31.5">
      <c r="A315" s="55" t="s">
        <v>318</v>
      </c>
      <c r="B315" s="44">
        <f t="shared" si="5"/>
        <v>18574</v>
      </c>
      <c r="C315" s="24">
        <v>10221</v>
      </c>
      <c r="D315" s="38">
        <v>8353</v>
      </c>
      <c r="E315" s="24"/>
      <c r="F315" s="24"/>
      <c r="G315" s="24"/>
      <c r="H315" s="24"/>
      <c r="I315" s="24"/>
    </row>
    <row r="316" spans="1:9" ht="31.5">
      <c r="A316" s="55" t="s">
        <v>320</v>
      </c>
      <c r="B316" s="44">
        <f t="shared" si="5"/>
        <v>22357</v>
      </c>
      <c r="C316" s="24">
        <f>6606+C317</f>
        <v>6741</v>
      </c>
      <c r="D316" s="38">
        <f>3594+3420+120+85+D317</f>
        <v>15616</v>
      </c>
      <c r="E316" s="24"/>
      <c r="F316" s="24"/>
      <c r="G316" s="24"/>
      <c r="H316" s="24"/>
      <c r="I316" s="24"/>
    </row>
    <row r="317" spans="1:9" ht="21.75" customHeight="1">
      <c r="A317" s="124" t="s">
        <v>391</v>
      </c>
      <c r="B317" s="44">
        <f t="shared" si="5"/>
        <v>8716</v>
      </c>
      <c r="C317" s="24">
        <v>135</v>
      </c>
      <c r="D317" s="38">
        <v>8397</v>
      </c>
      <c r="E317" s="24"/>
      <c r="F317" s="24"/>
      <c r="G317" s="24">
        <v>184</v>
      </c>
      <c r="H317" s="24"/>
      <c r="I317" s="24"/>
    </row>
    <row r="318" spans="1:9" ht="31.5">
      <c r="A318" s="55" t="s">
        <v>321</v>
      </c>
      <c r="B318" s="44">
        <f t="shared" si="5"/>
        <v>19268</v>
      </c>
      <c r="C318" s="24">
        <v>8096</v>
      </c>
      <c r="D318" s="38">
        <f>4198+D319</f>
        <v>11172</v>
      </c>
      <c r="E318" s="24"/>
      <c r="F318" s="24"/>
      <c r="G318" s="24"/>
      <c r="H318" s="24"/>
      <c r="I318" s="24"/>
    </row>
    <row r="319" spans="1:9" ht="23.25" customHeight="1">
      <c r="A319" s="124" t="s">
        <v>391</v>
      </c>
      <c r="B319" s="44">
        <f t="shared" si="5"/>
        <v>6974</v>
      </c>
      <c r="C319" s="24"/>
      <c r="D319" s="38">
        <v>6974</v>
      </c>
      <c r="E319" s="24"/>
      <c r="F319" s="24"/>
      <c r="G319" s="24"/>
      <c r="H319" s="24"/>
      <c r="I319" s="24"/>
    </row>
    <row r="320" spans="1:9" ht="31.5">
      <c r="A320" s="55" t="s">
        <v>322</v>
      </c>
      <c r="B320" s="44">
        <f t="shared" si="5"/>
        <v>18472</v>
      </c>
      <c r="C320" s="24">
        <v>8772</v>
      </c>
      <c r="D320" s="38">
        <v>9700</v>
      </c>
      <c r="E320" s="24"/>
      <c r="F320" s="24"/>
      <c r="G320" s="24"/>
      <c r="H320" s="24"/>
      <c r="I320" s="24"/>
    </row>
    <row r="321" spans="1:9" ht="31.5">
      <c r="A321" s="55" t="s">
        <v>327</v>
      </c>
      <c r="B321" s="44">
        <f t="shared" si="5"/>
        <v>19501</v>
      </c>
      <c r="C321" s="24">
        <v>8707</v>
      </c>
      <c r="D321" s="38">
        <v>10719</v>
      </c>
      <c r="E321" s="24"/>
      <c r="F321" s="24"/>
      <c r="G321" s="24">
        <v>75</v>
      </c>
      <c r="H321" s="24"/>
      <c r="I321" s="24"/>
    </row>
    <row r="322" spans="1:9" ht="31.5">
      <c r="A322" s="55" t="s">
        <v>340</v>
      </c>
      <c r="B322" s="44">
        <f t="shared" si="5"/>
        <v>16052</v>
      </c>
      <c r="C322" s="24">
        <v>6860</v>
      </c>
      <c r="D322" s="38">
        <v>9192</v>
      </c>
      <c r="E322" s="24"/>
      <c r="F322" s="24"/>
      <c r="G322" s="24"/>
      <c r="H322" s="24"/>
      <c r="I322" s="24"/>
    </row>
    <row r="323" spans="1:9" ht="31.5">
      <c r="A323" s="55" t="s">
        <v>346</v>
      </c>
      <c r="B323" s="44">
        <f t="shared" si="5"/>
        <v>13882</v>
      </c>
      <c r="C323" s="24">
        <f>4287+C324</f>
        <v>5287</v>
      </c>
      <c r="D323" s="38">
        <f>7412+D324</f>
        <v>8559</v>
      </c>
      <c r="E323" s="24"/>
      <c r="F323" s="24"/>
      <c r="G323" s="24">
        <v>36</v>
      </c>
      <c r="H323" s="24"/>
      <c r="I323" s="24"/>
    </row>
    <row r="324" spans="1:9" ht="19.5" customHeight="1">
      <c r="A324" s="61" t="s">
        <v>391</v>
      </c>
      <c r="B324" s="59">
        <f t="shared" si="7" ref="B324">=SUM(C324:I324)</f>
        <v>2147</v>
      </c>
      <c r="C324" s="24">
        <v>1000</v>
      </c>
      <c r="D324" s="38">
        <v>1147</v>
      </c>
      <c r="E324" s="24"/>
      <c r="F324" s="24"/>
      <c r="G324" s="24"/>
      <c r="H324" s="24"/>
      <c r="I324" s="24"/>
    </row>
    <row r="325" spans="1:9" ht="31.5">
      <c r="A325" s="55" t="s">
        <v>349</v>
      </c>
      <c r="B325" s="44">
        <f t="shared" si="5"/>
        <v>26991</v>
      </c>
      <c r="C325" s="24">
        <v>16959</v>
      </c>
      <c r="D325" s="38">
        <v>10032</v>
      </c>
      <c r="E325" s="24"/>
      <c r="F325" s="24"/>
      <c r="G325" s="24"/>
      <c r="H325" s="24"/>
      <c r="I325" s="24"/>
    </row>
    <row r="326" spans="1:9" ht="30">
      <c r="A326" s="48" t="s">
        <v>254</v>
      </c>
      <c r="B326" s="44">
        <f t="shared" si="5"/>
        <v>11339</v>
      </c>
      <c r="C326" s="25">
        <v>5286</v>
      </c>
      <c r="D326" s="73">
        <v>6053</v>
      </c>
      <c r="E326" s="25"/>
      <c r="F326" s="25"/>
      <c r="G326" s="25"/>
      <c r="H326" s="25"/>
      <c r="I326" s="25"/>
    </row>
    <row r="327" spans="1:9" ht="30">
      <c r="A327" s="48" t="s">
        <v>253</v>
      </c>
      <c r="B327" s="44">
        <f t="shared" si="5"/>
        <v>26702</v>
      </c>
      <c r="C327" s="24">
        <v>10927</v>
      </c>
      <c r="D327" s="38">
        <v>15775</v>
      </c>
      <c r="E327" s="24"/>
      <c r="F327" s="24"/>
      <c r="G327" s="24"/>
      <c r="H327" s="24"/>
      <c r="I327" s="24"/>
    </row>
    <row r="328" spans="1:9" ht="30">
      <c r="A328" s="47" t="s">
        <v>342</v>
      </c>
      <c r="B328" s="44">
        <f>SUM(C328:I328)</f>
        <v>19839</v>
      </c>
      <c r="C328" s="24">
        <v>7500</v>
      </c>
      <c r="D328" s="38">
        <v>12339</v>
      </c>
      <c r="E328" s="24"/>
      <c r="F328" s="24"/>
      <c r="G328" s="24"/>
      <c r="H328" s="24"/>
      <c r="I328" s="54"/>
    </row>
    <row r="329" spans="1:9" ht="15">
      <c r="A329" s="48" t="s">
        <v>252</v>
      </c>
      <c r="B329" s="44">
        <f t="shared" si="5"/>
        <v>14909</v>
      </c>
      <c r="C329" s="24">
        <v>10886</v>
      </c>
      <c r="D329" s="38">
        <v>4023</v>
      </c>
      <c r="E329" s="24"/>
      <c r="F329" s="24"/>
      <c r="G329" s="24"/>
      <c r="H329" s="24"/>
      <c r="I329" s="24"/>
    </row>
    <row r="330" spans="1:9" ht="30">
      <c r="A330" s="50" t="s">
        <v>328</v>
      </c>
      <c r="B330" s="44">
        <f t="shared" si="5"/>
        <v>82562</v>
      </c>
      <c r="C330" s="28">
        <f>21815+C331</f>
        <v>24935</v>
      </c>
      <c r="D330" s="70">
        <f>47407+D331</f>
        <v>57627</v>
      </c>
      <c r="E330" s="27"/>
      <c r="F330" s="27"/>
      <c r="G330" s="27"/>
      <c r="H330" s="27"/>
      <c r="I330" s="27"/>
    </row>
    <row r="331" spans="1:9" ht="18.75" customHeight="1">
      <c r="A331" s="62" t="s">
        <v>391</v>
      </c>
      <c r="B331" s="44">
        <f t="shared" si="5"/>
        <v>13340</v>
      </c>
      <c r="C331" s="28">
        <v>3120</v>
      </c>
      <c r="D331" s="70">
        <f>8400+1820</f>
        <v>10220</v>
      </c>
      <c r="E331" s="27"/>
      <c r="F331" s="27"/>
      <c r="G331" s="27"/>
      <c r="H331" s="27"/>
      <c r="I331" s="27"/>
    </row>
    <row r="332" spans="1:9" ht="30">
      <c r="A332" s="50" t="s">
        <v>370</v>
      </c>
      <c r="B332" s="44">
        <f t="shared" si="5"/>
        <v>14991</v>
      </c>
      <c r="C332" s="27"/>
      <c r="D332" s="70">
        <v>14991</v>
      </c>
      <c r="E332" s="27"/>
      <c r="F332" s="27"/>
      <c r="G332" s="27"/>
      <c r="H332" s="27"/>
      <c r="I332" s="27"/>
    </row>
    <row r="333" spans="1:9" ht="15">
      <c r="A333" s="50" t="s">
        <v>317</v>
      </c>
      <c r="B333" s="44">
        <f t="shared" si="5"/>
        <v>26254</v>
      </c>
      <c r="C333" s="27"/>
      <c r="D333" s="27"/>
      <c r="E333" s="28">
        <v>26254</v>
      </c>
      <c r="F333" s="27"/>
      <c r="G333" s="30"/>
      <c r="H333" s="30"/>
      <c r="I333" s="27"/>
    </row>
    <row r="334" spans="1:9" ht="15">
      <c r="A334" s="45" t="s">
        <v>56</v>
      </c>
      <c r="B334" s="44">
        <f t="shared" si="8" ref="B334:B390">=SUM(C334:I334)</f>
        <v>1682439</v>
      </c>
      <c r="C334" s="24">
        <f>882903+C335</f>
        <v>906056</v>
      </c>
      <c r="D334" s="24">
        <f>714496+D335</f>
        <v>759483</v>
      </c>
      <c r="E334" s="24">
        <v>0</v>
      </c>
      <c r="F334" s="24">
        <v>0</v>
      </c>
      <c r="G334" s="24">
        <v>16900</v>
      </c>
      <c r="H334" s="24">
        <v>0</v>
      </c>
      <c r="I334" s="24">
        <v>0</v>
      </c>
    </row>
    <row r="335" spans="1:9" ht="15">
      <c r="A335" s="60" t="s">
        <v>391</v>
      </c>
      <c r="B335" s="44">
        <f t="shared" si="8"/>
        <v>68140</v>
      </c>
      <c r="C335" s="24">
        <v>23153</v>
      </c>
      <c r="D335" s="24">
        <v>44987</v>
      </c>
      <c r="E335" s="24"/>
      <c r="F335" s="24"/>
      <c r="G335" s="24"/>
      <c r="H335" s="24"/>
      <c r="I335" s="24"/>
    </row>
    <row r="336" spans="1:9" ht="15">
      <c r="A336" s="45" t="s">
        <v>206</v>
      </c>
      <c r="B336" s="44">
        <f t="shared" si="8"/>
        <v>301720</v>
      </c>
      <c r="C336" s="24">
        <v>205778</v>
      </c>
      <c r="D336" s="24">
        <v>94692</v>
      </c>
      <c r="E336" s="24">
        <v>0</v>
      </c>
      <c r="F336" s="24">
        <v>0</v>
      </c>
      <c r="G336" s="24">
        <v>1250</v>
      </c>
      <c r="H336" s="24">
        <v>0</v>
      </c>
      <c r="I336" s="24">
        <v>0</v>
      </c>
    </row>
    <row r="337" spans="1:9" ht="15">
      <c r="A337" s="43" t="s">
        <v>208</v>
      </c>
      <c r="B337" s="44">
        <f t="shared" si="8"/>
        <v>199348</v>
      </c>
      <c r="C337" s="24">
        <v>136500</v>
      </c>
      <c r="D337" s="24">
        <f>59428+D338</f>
        <v>61828</v>
      </c>
      <c r="E337" s="24">
        <v>0</v>
      </c>
      <c r="F337" s="24">
        <v>0</v>
      </c>
      <c r="G337" s="24">
        <v>600</v>
      </c>
      <c r="H337" s="24">
        <f>H338</f>
        <v>420</v>
      </c>
      <c r="I337" s="24">
        <v>0</v>
      </c>
    </row>
    <row r="338" spans="1:9" ht="15">
      <c r="A338" s="121" t="s">
        <v>391</v>
      </c>
      <c r="B338" s="44">
        <f t="shared" si="8"/>
        <v>2820</v>
      </c>
      <c r="C338" s="24"/>
      <c r="D338" s="24">
        <v>2400</v>
      </c>
      <c r="E338" s="24"/>
      <c r="F338" s="24"/>
      <c r="G338" s="24"/>
      <c r="H338" s="24">
        <v>420</v>
      </c>
      <c r="I338" s="24"/>
    </row>
    <row r="339" spans="1:9" ht="15">
      <c r="A339" s="43" t="s">
        <v>207</v>
      </c>
      <c r="B339" s="44">
        <f t="shared" si="8"/>
        <v>284435</v>
      </c>
      <c r="C339" s="24">
        <f>177208+C340</f>
        <v>196005</v>
      </c>
      <c r="D339" s="24">
        <f>71093+D340</f>
        <v>87790</v>
      </c>
      <c r="E339" s="24">
        <v>0</v>
      </c>
      <c r="F339" s="24">
        <v>0</v>
      </c>
      <c r="G339" s="24">
        <f>G340</f>
        <v>640</v>
      </c>
      <c r="H339" s="24">
        <v>0</v>
      </c>
      <c r="I339" s="24">
        <v>0</v>
      </c>
    </row>
    <row r="340" spans="1:9" ht="15">
      <c r="A340" s="121" t="s">
        <v>391</v>
      </c>
      <c r="B340" s="44">
        <f t="shared" si="8"/>
        <v>36134</v>
      </c>
      <c r="C340" s="24">
        <v>18797</v>
      </c>
      <c r="D340" s="24">
        <f>16697</f>
        <v>16697</v>
      </c>
      <c r="E340" s="24"/>
      <c r="F340" s="24"/>
      <c r="G340" s="24">
        <v>640</v>
      </c>
      <c r="H340" s="24"/>
      <c r="I340" s="24"/>
    </row>
    <row r="341" spans="1:9" ht="15">
      <c r="A341" s="43" t="s">
        <v>272</v>
      </c>
      <c r="B341" s="44">
        <f t="shared" si="8"/>
        <v>1900</v>
      </c>
      <c r="C341" s="24"/>
      <c r="D341" s="24">
        <v>1900</v>
      </c>
      <c r="E341" s="24"/>
      <c r="F341" s="24"/>
      <c r="G341" s="24"/>
      <c r="H341" s="24"/>
      <c r="I341" s="24"/>
    </row>
    <row r="342" spans="1:9" ht="15">
      <c r="A342" s="45" t="s">
        <v>57</v>
      </c>
      <c r="B342" s="44">
        <f t="shared" si="8"/>
        <v>244724</v>
      </c>
      <c r="C342" s="24">
        <f>173545+52271+C343</f>
        <v>226318</v>
      </c>
      <c r="D342" s="24">
        <v>18406</v>
      </c>
      <c r="E342" s="24">
        <v>0</v>
      </c>
      <c r="F342" s="24">
        <v>0</v>
      </c>
      <c r="G342" s="24"/>
      <c r="H342" s="24">
        <v>0</v>
      </c>
      <c r="I342" s="24">
        <v>0</v>
      </c>
    </row>
    <row r="343" spans="1:9" ht="15">
      <c r="A343" s="60" t="s">
        <v>391</v>
      </c>
      <c r="B343" s="44">
        <f t="shared" si="8"/>
        <v>502</v>
      </c>
      <c r="C343" s="24">
        <v>502</v>
      </c>
      <c r="D343" s="24"/>
      <c r="E343" s="24"/>
      <c r="F343" s="24"/>
      <c r="G343" s="24"/>
      <c r="H343" s="24"/>
      <c r="I343" s="24"/>
    </row>
    <row r="344" spans="1:9" ht="15">
      <c r="A344" s="45" t="s">
        <v>307</v>
      </c>
      <c r="B344" s="44">
        <f t="shared" si="8"/>
        <v>663621</v>
      </c>
      <c r="C344" s="24">
        <f>577447+C345</f>
        <v>579631</v>
      </c>
      <c r="D344" s="24">
        <f>1500+52984+19440+488+4356+D345</f>
        <v>81890</v>
      </c>
      <c r="E344" s="24">
        <v>0</v>
      </c>
      <c r="F344" s="24">
        <v>0</v>
      </c>
      <c r="G344" s="24">
        <v>2100</v>
      </c>
      <c r="H344" s="24">
        <v>0</v>
      </c>
      <c r="I344" s="24">
        <v>0</v>
      </c>
    </row>
    <row r="345" spans="1:9" ht="22.5" customHeight="1">
      <c r="A345" s="60" t="s">
        <v>391</v>
      </c>
      <c r="B345" s="44">
        <f t="shared" si="8"/>
        <v>5306</v>
      </c>
      <c r="C345" s="24">
        <f>-3122+5306</f>
        <v>2184</v>
      </c>
      <c r="D345" s="24">
        <v>3122</v>
      </c>
      <c r="E345" s="24"/>
      <c r="F345" s="24"/>
      <c r="G345" s="24"/>
      <c r="H345" s="24"/>
      <c r="I345" s="24"/>
    </row>
    <row r="346" spans="1:9" ht="15">
      <c r="A346" s="45" t="s">
        <v>58</v>
      </c>
      <c r="B346" s="44">
        <f t="shared" si="8"/>
        <v>23592</v>
      </c>
      <c r="C346" s="24">
        <v>0</v>
      </c>
      <c r="D346" s="24">
        <f>17712+5880</f>
        <v>23592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</row>
    <row r="347" spans="1:9" ht="15">
      <c r="A347" s="45" t="s">
        <v>128</v>
      </c>
      <c r="B347" s="44">
        <f t="shared" si="8"/>
        <v>155266</v>
      </c>
      <c r="C347" s="24">
        <f>35162+9804</f>
        <v>44966</v>
      </c>
      <c r="D347" s="24">
        <f>4099+2425</f>
        <v>6524</v>
      </c>
      <c r="E347" s="24">
        <v>0</v>
      </c>
      <c r="F347" s="24">
        <v>0</v>
      </c>
      <c r="G347" s="24"/>
      <c r="H347" s="24">
        <v>103776</v>
      </c>
      <c r="I347" s="24">
        <v>0</v>
      </c>
    </row>
    <row r="348" spans="1:9" ht="15">
      <c r="A348" s="45" t="s">
        <v>404</v>
      </c>
      <c r="B348" s="44">
        <f t="shared" si="8"/>
        <v>1179905</v>
      </c>
      <c r="C348" s="24">
        <v>0</v>
      </c>
      <c r="D348" s="24">
        <v>0</v>
      </c>
      <c r="E348" s="24">
        <v>0</v>
      </c>
      <c r="F348" s="24">
        <v>0</v>
      </c>
      <c r="G348" s="24"/>
      <c r="H348" s="24">
        <v>1179905</v>
      </c>
      <c r="I348" s="24">
        <v>0</v>
      </c>
    </row>
    <row r="349" spans="1:9" ht="15">
      <c r="A349" s="45" t="s">
        <v>300</v>
      </c>
      <c r="B349" s="44">
        <f t="shared" si="8"/>
        <v>20460</v>
      </c>
      <c r="C349" s="24"/>
      <c r="D349" s="24"/>
      <c r="E349" s="24"/>
      <c r="F349" s="24"/>
      <c r="G349" s="24"/>
      <c r="H349" s="24">
        <v>20460</v>
      </c>
      <c r="I349" s="24"/>
    </row>
    <row r="350" spans="1:9" ht="30">
      <c r="A350" s="48" t="s">
        <v>309</v>
      </c>
      <c r="B350" s="44">
        <f>SUM(C350:I350)</f>
        <v>151662</v>
      </c>
      <c r="C350" s="24">
        <f>79900+22662</f>
        <v>102562</v>
      </c>
      <c r="D350" s="24">
        <f>204+9467+20075</f>
        <v>29746</v>
      </c>
      <c r="E350" s="24"/>
      <c r="F350" s="38"/>
      <c r="G350" s="38">
        <v>19354</v>
      </c>
      <c r="H350" s="38"/>
      <c r="I350" s="24"/>
    </row>
    <row r="351" spans="1:9" ht="30">
      <c r="A351" s="43" t="s">
        <v>276</v>
      </c>
      <c r="B351" s="44">
        <f t="shared" si="9" ref="B351:B355">=SUM(C351:I351)</f>
        <v>5700</v>
      </c>
      <c r="C351" s="24"/>
      <c r="D351" s="24">
        <v>2200</v>
      </c>
      <c r="E351" s="24"/>
      <c r="F351" s="24"/>
      <c r="G351" s="24">
        <v>3500</v>
      </c>
      <c r="H351" s="24"/>
      <c r="I351" s="24"/>
    </row>
    <row r="352" spans="1:9" ht="30">
      <c r="A352" s="45" t="s">
        <v>59</v>
      </c>
      <c r="B352" s="44">
        <f t="shared" si="9"/>
        <v>403451</v>
      </c>
      <c r="C352" s="24">
        <f>297065+71029</f>
        <v>368094</v>
      </c>
      <c r="D352" s="24">
        <f>180+17280+17197</f>
        <v>34657</v>
      </c>
      <c r="E352" s="24">
        <v>0</v>
      </c>
      <c r="F352" s="24">
        <v>0</v>
      </c>
      <c r="G352" s="24">
        <v>700</v>
      </c>
      <c r="H352" s="24">
        <v>0</v>
      </c>
      <c r="I352" s="24">
        <v>0</v>
      </c>
    </row>
    <row r="353" spans="1:9" ht="30">
      <c r="A353" s="45" t="s">
        <v>121</v>
      </c>
      <c r="B353" s="44">
        <f t="shared" si="9"/>
        <v>27854</v>
      </c>
      <c r="C353" s="24">
        <f>13188+4049</f>
        <v>17237</v>
      </c>
      <c r="D353" s="24">
        <f>9690</f>
        <v>9690</v>
      </c>
      <c r="E353" s="24">
        <v>0</v>
      </c>
      <c r="F353" s="24"/>
      <c r="G353" s="24">
        <v>927</v>
      </c>
      <c r="H353" s="24"/>
      <c r="I353" s="24"/>
    </row>
    <row r="354" spans="1:9" ht="30">
      <c r="A354" s="47" t="s">
        <v>122</v>
      </c>
      <c r="B354" s="44">
        <f t="shared" si="9"/>
        <v>170358</v>
      </c>
      <c r="C354" s="24">
        <f>54816+12932</f>
        <v>67748</v>
      </c>
      <c r="D354" s="24">
        <v>2100</v>
      </c>
      <c r="E354" s="24">
        <v>0</v>
      </c>
      <c r="F354" s="24"/>
      <c r="G354" s="24"/>
      <c r="H354" s="24">
        <v>100510</v>
      </c>
      <c r="I354" s="24"/>
    </row>
    <row r="355" spans="1:9" ht="31.5">
      <c r="A355" s="56" t="s">
        <v>154</v>
      </c>
      <c r="B355" s="44">
        <f t="shared" si="9"/>
        <v>254227</v>
      </c>
      <c r="C355" s="24">
        <f>146840+42681</f>
        <v>189521</v>
      </c>
      <c r="D355" s="24">
        <f>476+15611+39019</f>
        <v>55106</v>
      </c>
      <c r="E355" s="24">
        <v>0</v>
      </c>
      <c r="F355" s="24"/>
      <c r="G355" s="24"/>
      <c r="H355" s="24">
        <v>9600</v>
      </c>
      <c r="I355" s="24"/>
    </row>
    <row r="356" spans="1:9" ht="30">
      <c r="A356" s="50" t="s">
        <v>273</v>
      </c>
      <c r="B356" s="44">
        <f t="shared" si="8"/>
        <v>4364</v>
      </c>
      <c r="C356" s="28">
        <v>3664</v>
      </c>
      <c r="D356" s="28">
        <v>700</v>
      </c>
      <c r="E356" s="27"/>
      <c r="F356" s="27"/>
      <c r="G356" s="27"/>
      <c r="H356" s="27"/>
      <c r="I356" s="27"/>
    </row>
    <row r="357" spans="1:9" ht="30">
      <c r="A357" s="50" t="s">
        <v>308</v>
      </c>
      <c r="B357" s="44">
        <f t="shared" si="8"/>
        <v>88477</v>
      </c>
      <c r="C357" s="40">
        <f>52839+14939</f>
        <v>67778</v>
      </c>
      <c r="D357" s="40">
        <f>180+3595+16924</f>
        <v>20699</v>
      </c>
      <c r="E357" s="41"/>
      <c r="F357" s="41"/>
      <c r="G357" s="41"/>
      <c r="H357" s="41"/>
      <c r="I357" s="41"/>
    </row>
    <row r="358" spans="1:9" ht="45">
      <c r="A358" s="47" t="s">
        <v>125</v>
      </c>
      <c r="B358" s="44">
        <f t="shared" si="8"/>
        <v>19509</v>
      </c>
      <c r="C358" s="24">
        <v>15025</v>
      </c>
      <c r="D358" s="24">
        <f>300+D359</f>
        <v>2574</v>
      </c>
      <c r="E358" s="24">
        <v>0</v>
      </c>
      <c r="F358" s="24">
        <v>0</v>
      </c>
      <c r="G358" s="24">
        <f>G359</f>
        <v>1910</v>
      </c>
      <c r="H358" s="24">
        <v>0</v>
      </c>
      <c r="I358" s="24">
        <v>0</v>
      </c>
    </row>
    <row r="359" spans="1:9" ht="27.75" customHeight="1">
      <c r="A359" s="77" t="s">
        <v>391</v>
      </c>
      <c r="B359" s="44">
        <f t="shared" si="8"/>
        <v>4184</v>
      </c>
      <c r="C359" s="24"/>
      <c r="D359" s="24">
        <v>2274</v>
      </c>
      <c r="E359" s="24"/>
      <c r="F359" s="24"/>
      <c r="G359" s="24">
        <v>1910</v>
      </c>
      <c r="H359" s="24"/>
      <c r="I359" s="24"/>
    </row>
    <row r="360" spans="1:9" ht="61.5" customHeight="1">
      <c r="A360" s="43" t="s">
        <v>151</v>
      </c>
      <c r="B360" s="44">
        <f t="shared" si="8"/>
        <v>11886</v>
      </c>
      <c r="C360" s="24">
        <f>2428+572</f>
        <v>3000</v>
      </c>
      <c r="D360" s="24">
        <f>7755+1131</f>
        <v>8886</v>
      </c>
      <c r="E360" s="24"/>
      <c r="F360" s="24"/>
      <c r="G360" s="24"/>
      <c r="H360" s="24"/>
      <c r="I360" s="24"/>
    </row>
    <row r="361" spans="1:9" ht="45">
      <c r="A361" s="47" t="s">
        <v>150</v>
      </c>
      <c r="B361" s="44">
        <f t="shared" si="8"/>
        <v>17763</v>
      </c>
      <c r="C361" s="24">
        <v>0</v>
      </c>
      <c r="D361" s="24">
        <v>17763</v>
      </c>
      <c r="E361" s="24"/>
      <c r="F361" s="24"/>
      <c r="G361" s="24"/>
      <c r="H361" s="24"/>
      <c r="I361" s="24"/>
    </row>
    <row r="362" spans="1:9" ht="45">
      <c r="A362" s="45" t="s">
        <v>153</v>
      </c>
      <c r="B362" s="44">
        <f t="shared" si="8"/>
        <v>13360</v>
      </c>
      <c r="C362" s="24"/>
      <c r="D362" s="24">
        <v>13360</v>
      </c>
      <c r="E362" s="24"/>
      <c r="F362" s="24"/>
      <c r="G362" s="24"/>
      <c r="H362" s="24"/>
      <c r="I362" s="24"/>
    </row>
    <row r="363" spans="1:9" ht="60">
      <c r="A363" s="127" t="s">
        <v>416</v>
      </c>
      <c r="B363" s="44">
        <f t="shared" si="8"/>
        <v>6180</v>
      </c>
      <c r="C363" s="24"/>
      <c r="D363" s="24">
        <v>6180</v>
      </c>
      <c r="E363" s="24"/>
      <c r="F363" s="24"/>
      <c r="G363" s="24"/>
      <c r="H363" s="24"/>
      <c r="I363" s="24"/>
    </row>
    <row r="364" spans="1:9" ht="30">
      <c r="A364" s="43" t="s">
        <v>129</v>
      </c>
      <c r="B364" s="44">
        <f t="shared" si="8"/>
        <v>26838</v>
      </c>
      <c r="C364" s="24"/>
      <c r="D364" s="24">
        <v>26838</v>
      </c>
      <c r="E364" s="24"/>
      <c r="F364" s="24"/>
      <c r="G364" s="24"/>
      <c r="H364" s="24"/>
      <c r="I364" s="24"/>
    </row>
    <row r="365" spans="1:9" ht="15">
      <c r="A365" s="47" t="s">
        <v>377</v>
      </c>
      <c r="B365" s="44">
        <f t="shared" si="8"/>
        <v>875</v>
      </c>
      <c r="C365" s="24">
        <v>0</v>
      </c>
      <c r="D365" s="24">
        <v>875</v>
      </c>
      <c r="E365" s="24"/>
      <c r="F365" s="24"/>
      <c r="G365" s="24"/>
      <c r="H365" s="24">
        <v>0</v>
      </c>
      <c r="I365" s="24">
        <v>0</v>
      </c>
    </row>
    <row r="366" spans="1:9" ht="45">
      <c r="A366" s="47" t="s">
        <v>152</v>
      </c>
      <c r="B366" s="44">
        <f t="shared" si="8"/>
        <v>20827</v>
      </c>
      <c r="C366" s="24">
        <v>0</v>
      </c>
      <c r="D366" s="24">
        <v>20827</v>
      </c>
      <c r="E366" s="24"/>
      <c r="F366" s="24"/>
      <c r="G366" s="24"/>
      <c r="H366" s="24"/>
      <c r="I366" s="24"/>
    </row>
    <row r="367" spans="1:9" ht="47.25">
      <c r="A367" s="56" t="s">
        <v>316</v>
      </c>
      <c r="B367" s="44">
        <f t="shared" si="8"/>
        <v>10609</v>
      </c>
      <c r="C367" s="24"/>
      <c r="D367" s="24">
        <v>10609</v>
      </c>
      <c r="E367" s="24"/>
      <c r="F367" s="24"/>
      <c r="G367" s="24"/>
      <c r="H367" s="24"/>
      <c r="I367" s="24"/>
    </row>
    <row r="368" spans="1:9" ht="31.5">
      <c r="A368" s="56" t="s">
        <v>278</v>
      </c>
      <c r="B368" s="44">
        <f t="shared" si="8"/>
        <v>389963</v>
      </c>
      <c r="C368" s="24"/>
      <c r="D368" s="24"/>
      <c r="E368" s="24"/>
      <c r="F368" s="24"/>
      <c r="G368" s="24">
        <v>389963</v>
      </c>
      <c r="H368" s="24"/>
      <c r="I368" s="24"/>
    </row>
    <row r="369" spans="1:9" ht="68.25" customHeight="1">
      <c r="A369" s="56" t="s">
        <v>282</v>
      </c>
      <c r="B369" s="44">
        <f t="shared" si="8"/>
        <v>4782</v>
      </c>
      <c r="C369" s="24"/>
      <c r="D369" s="24"/>
      <c r="E369" s="24"/>
      <c r="F369" s="24"/>
      <c r="G369" s="24">
        <v>4782</v>
      </c>
      <c r="H369" s="24"/>
      <c r="I369" s="24"/>
    </row>
    <row r="370" spans="1:9" ht="41.25" customHeight="1">
      <c r="A370" s="56" t="s">
        <v>379</v>
      </c>
      <c r="B370" s="44">
        <f t="shared" si="8"/>
        <v>5030</v>
      </c>
      <c r="C370" s="24"/>
      <c r="D370" s="24">
        <v>5030</v>
      </c>
      <c r="E370" s="24"/>
      <c r="F370" s="24"/>
      <c r="G370" s="24"/>
      <c r="H370" s="24"/>
      <c r="I370" s="24"/>
    </row>
    <row r="371" spans="1:9" ht="37.5" customHeight="1">
      <c r="A371" s="56" t="s">
        <v>284</v>
      </c>
      <c r="B371" s="44">
        <f t="shared" si="8"/>
        <v>285511</v>
      </c>
      <c r="C371" s="24"/>
      <c r="D371" s="24"/>
      <c r="E371" s="24"/>
      <c r="F371" s="24"/>
      <c r="G371" s="24">
        <v>285511</v>
      </c>
      <c r="H371" s="24"/>
      <c r="I371" s="24"/>
    </row>
    <row r="372" spans="1:9" ht="37.5" customHeight="1">
      <c r="A372" s="56" t="s">
        <v>411</v>
      </c>
      <c r="B372" s="44">
        <f t="shared" si="8"/>
        <v>1000000</v>
      </c>
      <c r="C372" s="24"/>
      <c r="D372" s="24"/>
      <c r="E372" s="24"/>
      <c r="F372" s="24"/>
      <c r="G372" s="24">
        <f>840000+G373</f>
        <v>1000000</v>
      </c>
      <c r="H372" s="24"/>
      <c r="I372" s="24"/>
    </row>
    <row r="373" spans="1:9" ht="19.5" customHeight="1">
      <c r="A373" s="122" t="s">
        <v>391</v>
      </c>
      <c r="B373" s="44">
        <f t="shared" si="8"/>
        <v>160000</v>
      </c>
      <c r="C373" s="24"/>
      <c r="D373" s="24"/>
      <c r="E373" s="24"/>
      <c r="F373" s="24"/>
      <c r="G373" s="24">
        <v>160000</v>
      </c>
      <c r="H373" s="24"/>
      <c r="I373" s="24"/>
    </row>
    <row r="374" spans="1:9" ht="64.5" customHeight="1">
      <c r="A374" s="56" t="s">
        <v>285</v>
      </c>
      <c r="B374" s="44">
        <f t="shared" si="8"/>
        <v>430221</v>
      </c>
      <c r="C374" s="24"/>
      <c r="D374" s="24"/>
      <c r="E374" s="24"/>
      <c r="F374" s="24"/>
      <c r="G374" s="24">
        <v>430221</v>
      </c>
      <c r="H374" s="24"/>
      <c r="I374" s="24"/>
    </row>
    <row r="375" spans="1:9" ht="18" customHeight="1">
      <c r="A375" s="56" t="s">
        <v>375</v>
      </c>
      <c r="B375" s="44">
        <f t="shared" si="8"/>
        <v>1182</v>
      </c>
      <c r="C375" s="24"/>
      <c r="D375" s="24">
        <v>1182</v>
      </c>
      <c r="E375" s="24"/>
      <c r="F375" s="24"/>
      <c r="G375" s="24"/>
      <c r="H375" s="24"/>
      <c r="I375" s="24"/>
    </row>
    <row r="376" spans="1:9" ht="35.25" customHeight="1">
      <c r="A376" s="56" t="s">
        <v>380</v>
      </c>
      <c r="B376" s="44">
        <f t="shared" si="8"/>
        <v>6195</v>
      </c>
      <c r="C376" s="24">
        <f>760+C377</f>
        <v>250</v>
      </c>
      <c r="D376" s="24">
        <f>9560+D377</f>
        <v>5945</v>
      </c>
      <c r="E376" s="24"/>
      <c r="F376" s="24"/>
      <c r="G376" s="24"/>
      <c r="H376" s="24"/>
      <c r="I376" s="24"/>
    </row>
    <row r="377" spans="1:9" ht="21.75" customHeight="1">
      <c r="A377" s="122" t="s">
        <v>391</v>
      </c>
      <c r="B377" s="44">
        <f t="shared" si="8"/>
        <v>-4125</v>
      </c>
      <c r="C377" s="24">
        <v>-510</v>
      </c>
      <c r="D377" s="24">
        <v>-3615</v>
      </c>
      <c r="E377" s="24"/>
      <c r="F377" s="24"/>
      <c r="G377" s="24"/>
      <c r="H377" s="24"/>
      <c r="I377" s="24"/>
    </row>
    <row r="378" spans="1:9" ht="34.15" customHeight="1">
      <c r="A378" s="56" t="s">
        <v>373</v>
      </c>
      <c r="B378" s="44">
        <f t="shared" si="8"/>
        <v>77535</v>
      </c>
      <c r="C378" s="24"/>
      <c r="D378" s="24"/>
      <c r="E378" s="24"/>
      <c r="F378" s="24"/>
      <c r="G378" s="24">
        <v>77535</v>
      </c>
      <c r="H378" s="24"/>
      <c r="I378" s="24"/>
    </row>
    <row r="379" spans="1:9" ht="35.25" customHeight="1">
      <c r="A379" s="56" t="s">
        <v>286</v>
      </c>
      <c r="B379" s="44">
        <f t="shared" si="10" ref="B379:B388">=SUM(C379:I379)</f>
        <v>303664</v>
      </c>
      <c r="C379" s="24"/>
      <c r="D379" s="24"/>
      <c r="E379" s="24"/>
      <c r="F379" s="24"/>
      <c r="G379" s="24">
        <v>303664</v>
      </c>
      <c r="H379" s="24"/>
      <c r="I379" s="24"/>
    </row>
    <row r="380" spans="1:9" ht="48" customHeight="1">
      <c r="A380" s="56" t="s">
        <v>355</v>
      </c>
      <c r="B380" s="44">
        <f t="shared" si="10"/>
        <v>87500</v>
      </c>
      <c r="C380" s="24"/>
      <c r="D380" s="24"/>
      <c r="E380" s="24"/>
      <c r="F380" s="24"/>
      <c r="G380" s="24">
        <f>85000+2500</f>
        <v>87500</v>
      </c>
      <c r="H380" s="24"/>
      <c r="I380" s="24"/>
    </row>
    <row r="381" spans="1:9" ht="33" customHeight="1">
      <c r="A381" s="56" t="s">
        <v>383</v>
      </c>
      <c r="B381" s="44">
        <f t="shared" si="10"/>
        <v>1000</v>
      </c>
      <c r="C381" s="24"/>
      <c r="D381" s="24"/>
      <c r="E381" s="24">
        <v>1000</v>
      </c>
      <c r="F381" s="24"/>
      <c r="G381" s="24"/>
      <c r="H381" s="24"/>
      <c r="I381" s="24"/>
    </row>
    <row r="382" spans="1:9" ht="18" customHeight="1">
      <c r="A382" s="56" t="s">
        <v>384</v>
      </c>
      <c r="B382" s="44">
        <f t="shared" si="10"/>
        <v>1000</v>
      </c>
      <c r="C382" s="24"/>
      <c r="D382" s="24"/>
      <c r="E382" s="24">
        <v>1000</v>
      </c>
      <c r="F382" s="24"/>
      <c r="G382" s="24"/>
      <c r="H382" s="24"/>
      <c r="I382" s="24"/>
    </row>
    <row r="383" spans="1:9" ht="35.25" customHeight="1">
      <c r="A383" s="56" t="s">
        <v>385</v>
      </c>
      <c r="B383" s="44">
        <f t="shared" si="10"/>
        <v>500</v>
      </c>
      <c r="C383" s="24"/>
      <c r="D383" s="24"/>
      <c r="E383" s="24">
        <v>500</v>
      </c>
      <c r="F383" s="24"/>
      <c r="G383" s="24"/>
      <c r="H383" s="24"/>
      <c r="I383" s="24"/>
    </row>
    <row r="384" spans="1:9" ht="23.25" customHeight="1">
      <c r="A384" s="56" t="s">
        <v>386</v>
      </c>
      <c r="B384" s="44">
        <f t="shared" si="10"/>
        <v>1000</v>
      </c>
      <c r="C384" s="24"/>
      <c r="D384" s="24"/>
      <c r="E384" s="24">
        <v>1000</v>
      </c>
      <c r="F384" s="24"/>
      <c r="G384" s="24"/>
      <c r="H384" s="24"/>
      <c r="I384" s="24"/>
    </row>
    <row r="385" spans="1:9" ht="35.25" customHeight="1">
      <c r="A385" s="56" t="s">
        <v>389</v>
      </c>
      <c r="B385" s="44">
        <f t="shared" si="10"/>
        <v>7680</v>
      </c>
      <c r="C385" s="24"/>
      <c r="D385" s="24"/>
      <c r="E385" s="24">
        <f>4180+E386</f>
        <v>7680</v>
      </c>
      <c r="F385" s="24"/>
      <c r="G385" s="24"/>
      <c r="H385" s="24"/>
      <c r="I385" s="24"/>
    </row>
    <row r="386" spans="1:9" ht="35.25" customHeight="1">
      <c r="A386" s="125" t="s">
        <v>415</v>
      </c>
      <c r="B386" s="44">
        <f t="shared" si="10"/>
        <v>3500</v>
      </c>
      <c r="C386" s="24"/>
      <c r="D386" s="24"/>
      <c r="E386" s="24">
        <v>3500</v>
      </c>
      <c r="F386" s="24"/>
      <c r="G386" s="24"/>
      <c r="H386" s="24"/>
      <c r="I386" s="24"/>
    </row>
    <row r="387" spans="1:9" ht="48" customHeight="1">
      <c r="A387" s="56" t="s">
        <v>398</v>
      </c>
      <c r="B387" s="44">
        <f t="shared" si="10"/>
        <v>250970</v>
      </c>
      <c r="C387" s="24">
        <f>3977+C388</f>
        <v>9086</v>
      </c>
      <c r="D387" s="24">
        <f>118354+D388</f>
        <v>235287</v>
      </c>
      <c r="E387" s="24"/>
      <c r="F387" s="24"/>
      <c r="G387" s="24"/>
      <c r="H387" s="24">
        <f>2269+H388</f>
        <v>6597</v>
      </c>
      <c r="I387" s="24"/>
    </row>
    <row r="388" spans="1:9" ht="25.5" customHeight="1">
      <c r="A388" s="122" t="s">
        <v>391</v>
      </c>
      <c r="B388" s="44">
        <f t="shared" si="10"/>
        <v>126370</v>
      </c>
      <c r="C388" s="24">
        <v>5109</v>
      </c>
      <c r="D388" s="24">
        <v>116933</v>
      </c>
      <c r="E388" s="24"/>
      <c r="F388" s="24"/>
      <c r="G388" s="24"/>
      <c r="H388" s="24">
        <v>4328</v>
      </c>
      <c r="I388" s="24"/>
    </row>
    <row r="389" spans="1:9" ht="28.5" customHeight="1">
      <c r="A389" s="56" t="s">
        <v>306</v>
      </c>
      <c r="B389" s="44">
        <f t="shared" si="8"/>
        <v>150000</v>
      </c>
      <c r="C389" s="24">
        <v>0</v>
      </c>
      <c r="D389" s="24">
        <v>0</v>
      </c>
      <c r="E389" s="24"/>
      <c r="F389" s="24"/>
      <c r="G389" s="24">
        <v>150000</v>
      </c>
      <c r="H389" s="24"/>
      <c r="I389" s="24"/>
    </row>
    <row r="390" spans="1:9" ht="50.25" customHeight="1">
      <c r="A390" s="56" t="s">
        <v>409</v>
      </c>
      <c r="B390" s="44">
        <f t="shared" si="8"/>
        <v>11625</v>
      </c>
      <c r="C390" s="24"/>
      <c r="D390" s="24"/>
      <c r="E390" s="24"/>
      <c r="F390" s="24"/>
      <c r="G390" s="24">
        <f>7000+4625</f>
        <v>11625</v>
      </c>
      <c r="H390" s="24"/>
      <c r="I390" s="24"/>
    </row>
    <row r="391" spans="1:9" ht="50.25" customHeight="1">
      <c r="A391" s="56" t="s">
        <v>410</v>
      </c>
      <c r="B391" s="44">
        <f t="shared" si="11" ref="B391">=SUM(C391:I391)</f>
        <v>5868</v>
      </c>
      <c r="C391" s="24"/>
      <c r="D391" s="24"/>
      <c r="E391" s="24"/>
      <c r="F391" s="24"/>
      <c r="G391" s="24">
        <f>4800+1068</f>
        <v>5868</v>
      </c>
      <c r="H391" s="24"/>
      <c r="I391" s="24"/>
    </row>
    <row r="392" spans="1:9" ht="39.75" customHeight="1">
      <c r="A392" s="56" t="s">
        <v>402</v>
      </c>
      <c r="B392" s="44">
        <f t="shared" si="12" ref="B392:B393">=SUM(C392:I392)</f>
        <v>424000</v>
      </c>
      <c r="C392" s="24">
        <f>C393</f>
        <v>22923</v>
      </c>
      <c r="D392" s="24">
        <f>D393</f>
        <v>2801</v>
      </c>
      <c r="E392" s="24"/>
      <c r="F392" s="24"/>
      <c r="G392" s="24">
        <f>G393</f>
        <v>13920</v>
      </c>
      <c r="H392" s="24">
        <f>424000+H393</f>
        <v>384356</v>
      </c>
      <c r="I392" s="24"/>
    </row>
    <row r="393" spans="1:9" ht="22.5" customHeight="1">
      <c r="A393" s="122" t="s">
        <v>393</v>
      </c>
      <c r="B393" s="59">
        <f t="shared" si="12"/>
        <v>0</v>
      </c>
      <c r="C393" s="24">
        <v>22923</v>
      </c>
      <c r="D393" s="24">
        <v>2801</v>
      </c>
      <c r="E393" s="24"/>
      <c r="F393" s="24"/>
      <c r="G393" s="24">
        <v>13920</v>
      </c>
      <c r="H393" s="24">
        <v>-39644</v>
      </c>
      <c r="I393" s="24"/>
    </row>
    <row r="394" spans="1:9" ht="50.25" customHeight="1">
      <c r="A394" s="56" t="s">
        <v>403</v>
      </c>
      <c r="B394" s="44">
        <f t="shared" si="13" ref="B394">=SUM(C394:I394)</f>
        <v>7865</v>
      </c>
      <c r="C394" s="24"/>
      <c r="D394" s="24"/>
      <c r="E394" s="24"/>
      <c r="F394" s="24"/>
      <c r="G394" s="24">
        <v>7865</v>
      </c>
      <c r="H394" s="24"/>
      <c r="I394" s="24"/>
    </row>
    <row r="395" spans="1:9" ht="31.5" customHeight="1">
      <c r="A395" s="56" t="s">
        <v>408</v>
      </c>
      <c r="B395" s="44">
        <f t="shared" si="14" ref="B395">=SUM(C395:I395)</f>
        <v>9450</v>
      </c>
      <c r="C395" s="24">
        <v>540</v>
      </c>
      <c r="D395" s="24">
        <f>7110+1800</f>
        <v>8910</v>
      </c>
      <c r="E395" s="24"/>
      <c r="F395" s="24"/>
      <c r="G395" s="24"/>
      <c r="H395" s="24"/>
      <c r="I395" s="24"/>
    </row>
    <row r="396" spans="1:9" ht="31.5" customHeight="1">
      <c r="A396" s="56" t="s">
        <v>412</v>
      </c>
      <c r="B396" s="44">
        <f t="shared" si="15" ref="B396">=SUM(C396:I396)</f>
        <v>2900</v>
      </c>
      <c r="C396" s="24">
        <v>320</v>
      </c>
      <c r="D396" s="24">
        <v>2580</v>
      </c>
      <c r="E396" s="24"/>
      <c r="F396" s="24"/>
      <c r="G396" s="24"/>
      <c r="H396" s="24"/>
      <c r="I396" s="24"/>
    </row>
    <row r="397" spans="1:9" ht="31.5" customHeight="1">
      <c r="A397" s="56" t="s">
        <v>405</v>
      </c>
      <c r="B397" s="44">
        <f t="shared" si="16" ref="B397">=SUM(C397:I397)</f>
        <v>207000</v>
      </c>
      <c r="C397" s="24"/>
      <c r="D397" s="24"/>
      <c r="E397" s="24"/>
      <c r="F397" s="24"/>
      <c r="G397" s="24">
        <v>207000</v>
      </c>
      <c r="H397" s="24"/>
      <c r="I397" s="24"/>
    </row>
    <row r="398" spans="1:9" ht="31.5" customHeight="1">
      <c r="A398" s="56" t="s">
        <v>406</v>
      </c>
      <c r="B398" s="44">
        <f t="shared" si="17" ref="B398">=SUM(C398:I398)</f>
        <v>256500</v>
      </c>
      <c r="C398" s="24"/>
      <c r="D398" s="24"/>
      <c r="E398" s="24"/>
      <c r="F398" s="24"/>
      <c r="G398" s="24">
        <v>256500</v>
      </c>
      <c r="H398" s="24"/>
      <c r="I398" s="24"/>
    </row>
    <row r="399" spans="1:9" ht="51" customHeight="1">
      <c r="A399" s="56" t="s">
        <v>407</v>
      </c>
      <c r="B399" s="44">
        <f t="shared" si="18" ref="B399:B400">=SUM(C399:I399)</f>
        <v>682048</v>
      </c>
      <c r="C399" s="24"/>
      <c r="D399" s="24"/>
      <c r="E399" s="24"/>
      <c r="F399" s="24"/>
      <c r="G399" s="24">
        <f>588302+93746</f>
        <v>682048</v>
      </c>
      <c r="H399" s="24"/>
      <c r="I399" s="24"/>
    </row>
    <row r="400" spans="1:9" ht="21.75" customHeight="1">
      <c r="A400" s="125" t="s">
        <v>417</v>
      </c>
      <c r="B400" s="44">
        <f t="shared" si="18"/>
        <v>42971</v>
      </c>
      <c r="C400" s="24">
        <v>42732</v>
      </c>
      <c r="D400" s="24">
        <v>239</v>
      </c>
      <c r="E400" s="24"/>
      <c r="F400" s="24"/>
      <c r="G400" s="24"/>
      <c r="H400" s="24"/>
      <c r="I400" s="24"/>
    </row>
    <row r="401" spans="1:9" ht="15">
      <c r="A401" s="57" t="s">
        <v>60</v>
      </c>
      <c r="B401" s="118">
        <f>B18+B20+B21+B23+B25+B26+B27+B28+B29+B30+B31+B32+B33+B34+B36+B37+B38+B40+B41+B42+B44+B43+B45+B46+B47+B48+B50+B52+B53+B55+B56+B58+B59+B60+B61+B62+B64+B65+B67+B68+B69+B70+B71+B72+B73+B74+B75+B76+B77+B78+B79+B80+B81+B82+B83+B84+B85+B86+B87+B88+B89+B90+B91+B92+B93+B94+B95+B96+B97+B98+B99+B100+B101+B102+B103+B104+B105+B107+B108+B109+B110+B111+B112+B113+B114+B115+B117+B119+B121+B122+B123+B125+B126+B128+B130+B131+B133+B134+B136+B137+B140+B141+B142+B143+B144+B145+B146+B147+B148+B149+B150+B151+B152+B153+B154+B155+B156+B157+B158+B159+B160+B161+B162+B163+B164+B165+B166+B167+B168+B170+B169+B171+B172+B173+B174+B176+B177+B179+B181+B182+B183+B184+B185+B186+B187+B188+B189+B190+B191+B192+B193+B195+B196+B194+B198+B199+B201+B203+B205+B206+B207+B208+B210+B211+B212+B213+B215+B217+B219+B220+B221+B222+B223+B224+B226+B225+B228+B229+B230+B231+B232+B233+B234+B235+B236+B238+B240+B241+B242+B243+B244+B245+B246+B247+B248+B250+B252+B253+B254+B256+B258+B260+B262+B263+B265+B267+B269+B271+B273+B275+B276+B277+B278+B280+B281+B283+B285+B287+B288+B290+B292+B294+B296+B297+B299+B300+B301+B303+B302+B305+B307+B308+B310+B312+B313+B314+B315+B316+B318+B320+B321+B322+B323+B325+B326+B327+B328+B329+B330+B332+B333+B334+B336+B337+B339+B341+B342+B344+B346+B347+B348+B349+B350+B351+B352+B354+B353+B355+B356+B357+B358+B360+B361+B362+B363+B364+B365+B366+B367+B368+B369+B370+B371+B372+B374+B375+B376+B378+B379+B380+B381+B382+B383+B384+B385+B387+B389+B390+B391+B392+B394+B395+B396+B397+B398+B399++B400+B386</f>
        <v>37412829</v>
      </c>
      <c r="C401" s="118">
        <f t="shared" si="19" ref="C401:I401">=C18+C20+C21+C23+C25+C26+C27+C28+C29+C30+C31+C32+C33+C34+C36+C37+C38+C40+C41+C42+C44+C43+C45+C46+C47+C48+C50+C52+C53+C55+C56+C58+C59+C60+C61+C62+C64+C65+C67+C68+C69+C70+C71+C72+C73+C74+C75+C76+C77+C78+C79+C80+C81+C82+C83+C84+C85+C86+C87+C88+C89+C90+C91+C92+C93+C94+C95+C96+C97+C98+C99+C100+C101+C102+C103+C104+C105+C107+C108+C109+C110+C111+C112+C113+C114+C115+C117+C119+C121+C122+C123+C125+C126+C128+C130+C131+C133+C134+C136+C137+C140+C141+C142+C143+C144+C145+C146+C147+C148+C149+C150+C151+C152+C153+C154+C155+C156+C157+C158+C159+C160+C161+C162+C163+C164+C165+C166+C167+C168+C170+C169+C171+C172+C173+C174+C176+C177+C179+C181+C182+C183+C184+C185+C186+C187+C188+C189+C190+C191+C192+C193+C195+C196+C194+C198+C199+C201+C203+C205+C206+C207+C208+C210+C211+C212+C213+C215+C217+C219+C220+C221+C222+C223+C224+C226+C225+C228+C229+C230+C231+C232+C233+C234+C235+C236+C238+C240+C241+C242+C243+C244+C245+C246+C247+C248+C250+C252+C253+C254+C256+C258+C260+C262+C263+C265+C267+C269+C271+C273+C275+C276+C277+C278+C280+C281+C283+C285+C287+C288+C290+C292+C294+C296+C297+C299+C300+C301+C303+C302+C305+C307+C308+C310+C312+C313+C314+C315+C316+C318+C320+C321+C322+C323+C325+C326+C327+C328+C329+C330+C332+C333+C334+C336+C337+C339+C341+C342+C344+C346+C347+C348+C349+C350+C351+C352+C354+C353+C355+C356+C357+C358+C360+C361+C362+C363+C364+C365+C366+C367+C368+C369+C370+C371+C372+C374+C375+C376+C378+C379+C380+C381+C382+C383+C384+C385+C387+C389+C390+C391+C392+C394+C395+C396+C397+C398+C399++C400+C386</f>
        <v>20780312</v>
      </c>
      <c r="D401" s="118">
        <f t="shared" si="19"/>
        <v>8713099</v>
      </c>
      <c r="E401" s="118">
        <f t="shared" si="19"/>
        <v>140055</v>
      </c>
      <c r="F401" s="118">
        <f t="shared" si="19"/>
        <v>65605</v>
      </c>
      <c r="G401" s="118">
        <f t="shared" si="19"/>
        <v>5460092</v>
      </c>
      <c r="H401" s="118">
        <f t="shared" si="19"/>
        <v>2096372</v>
      </c>
      <c r="I401" s="118">
        <f t="shared" si="19"/>
        <v>157294</v>
      </c>
    </row>
    <row r="402" spans="1:9" ht="15">
      <c r="A402" s="17"/>
      <c r="B402" s="18"/>
      <c r="C402" s="18"/>
      <c r="D402" s="18"/>
      <c r="E402" s="18"/>
      <c r="F402" s="18"/>
      <c r="G402" s="18"/>
      <c r="H402" s="18"/>
      <c r="I402" s="18"/>
    </row>
    <row r="403" spans="1:9" ht="15">
      <c r="A403" s="17"/>
      <c r="B403" s="17"/>
      <c r="C403" s="18"/>
      <c r="D403" s="18"/>
      <c r="E403" s="18"/>
      <c r="F403" s="18"/>
      <c r="G403" s="18"/>
      <c r="H403" s="18"/>
      <c r="I403" s="18"/>
    </row>
    <row r="404" spans="1:9" ht="18.75">
      <c r="A404" s="17"/>
      <c r="B404" s="22" t="s">
        <v>414</v>
      </c>
      <c r="C404" s="18"/>
      <c r="D404" s="18"/>
      <c r="E404" s="18"/>
      <c r="F404" s="18"/>
      <c r="G404" s="18"/>
      <c r="H404" s="18"/>
      <c r="I404" s="18"/>
    </row>
    <row r="405" spans="1:9" ht="15">
      <c r="A405" s="17"/>
      <c r="B405" s="17"/>
      <c r="C405" s="18"/>
      <c r="D405" s="18"/>
      <c r="E405" s="18"/>
      <c r="F405" s="18"/>
      <c r="G405" s="18"/>
      <c r="H405" s="18"/>
      <c r="I405" s="18"/>
    </row>
    <row r="406" spans="2:9" ht="15">
      <c r="B406" s="14"/>
      <c r="C406" s="14"/>
      <c r="D406" s="14"/>
      <c r="E406" s="14"/>
      <c r="F406" s="14"/>
      <c r="G406" s="14"/>
      <c r="H406" s="14"/>
      <c r="I406" s="14"/>
    </row>
    <row r="407" spans="1:9" ht="18.75">
      <c r="A407" s="21"/>
      <c r="B407" s="21"/>
      <c r="D407" s="22"/>
      <c r="E407" s="22"/>
      <c r="F407" s="22"/>
      <c r="G407" s="22"/>
      <c r="H407" s="22"/>
      <c r="I407" s="21"/>
    </row>
    <row r="408" spans="3:9" ht="15">
      <c r="C408" s="14"/>
      <c r="D408" s="14"/>
      <c r="E408" s="14"/>
      <c r="F408" s="14"/>
      <c r="G408" s="14"/>
      <c r="H408" s="14"/>
      <c r="I408" s="14"/>
    </row>
    <row r="409" spans="9:9" ht="15">
      <c r="I409" s="14"/>
    </row>
    <row r="414" spans="5:5" ht="15">
      <c r="E414" s="14"/>
    </row>
  </sheetData>
  <mergeCells count="4">
    <mergeCell ref="A13:I13"/>
    <mergeCell ref="C15:I15"/>
    <mergeCell ref="A15:A17"/>
    <mergeCell ref="B15:B17"/>
  </mergeCells>
  <printOptions horizontalCentered="1"/>
  <pageMargins left="0.7086614173228347" right="0.7086614173228347" top="0.7480314960629921" bottom="0.7480314960629921" header="0.31496062992125984" footer="0.31496062992125984"/>
  <pageSetup fitToHeight="0" horizontalDpi="300" verticalDpi="300" orientation="landscape" paperSize="9" scale="8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3.pielikums</vt:lpstr>
      <vt:lpstr>4.pielikums</vt:lpstr>
    </vt:vector>
  </TitlesOfParts>
  <Template/>
  <Manager/>
  <Company>Grizli777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Olga Sinica</cp:lastModifiedBy>
  <cp:lastPrinted>2022-12-14T10:38:54Z</cp:lastPrinted>
  <dcterms:created xsi:type="dcterms:W3CDTF">2014-01-31T18:56:56Z</dcterms:created>
  <dcterms:modified xsi:type="dcterms:W3CDTF">2022-12-19T10:27:31Z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