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uta Mezule\Desktop\domessede29\"/>
    </mc:Choice>
  </mc:AlternateContent>
  <xr:revisionPtr revIDLastSave="0" documentId="8_{7B6F7E6E-86AB-47D3-A12D-63CF2039A963}" xr6:coauthVersionLast="47" xr6:coauthVersionMax="47" xr10:uidLastSave="{00000000-0000-0000-0000-000000000000}"/>
  <bookViews>
    <workbookView xWindow="1770" yWindow="1770" windowWidth="21600" windowHeight="11385" activeTab="1" xr2:uid="{00000000-000D-0000-FFFF-FFFF00000000}"/>
  </bookViews>
  <sheets>
    <sheet name="3.pielikums" sheetId="3" r:id="rId1"/>
    <sheet name="4.pielikums" sheetId="1" r:id="rId2"/>
  </sheets>
  <definedNames>
    <definedName name="_xlnm.Print_Area" localSheetId="1">'4.pielikums'!$A$3:$I$418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1" i="1" l="1"/>
  <c r="F411" i="1"/>
  <c r="B410" i="1"/>
  <c r="G389" i="3" s="1"/>
  <c r="B409" i="1"/>
  <c r="G388" i="3" s="1"/>
  <c r="B408" i="1"/>
  <c r="G387" i="3" s="1"/>
  <c r="B407" i="1"/>
  <c r="B406" i="1"/>
  <c r="B405" i="1"/>
  <c r="B404" i="1"/>
  <c r="B403" i="1"/>
  <c r="G390" i="3" s="1"/>
  <c r="B402" i="1"/>
  <c r="B401" i="1"/>
  <c r="B400" i="1"/>
  <c r="B399" i="1"/>
  <c r="B398" i="1"/>
  <c r="B397" i="1"/>
  <c r="B396" i="1"/>
  <c r="B395" i="1"/>
  <c r="B394" i="1"/>
  <c r="B393" i="1"/>
  <c r="G419" i="3" s="1"/>
  <c r="C419" i="3" s="1"/>
  <c r="B392" i="1"/>
  <c r="B391" i="1"/>
  <c r="B390" i="1"/>
  <c r="B389" i="1"/>
  <c r="B388" i="1"/>
  <c r="B387" i="1"/>
  <c r="B386" i="1"/>
  <c r="G358" i="3" s="1"/>
  <c r="B385" i="1"/>
  <c r="B384" i="1"/>
  <c r="B383" i="1"/>
  <c r="G359" i="3" s="1"/>
  <c r="C359" i="3" s="1"/>
  <c r="B382" i="1"/>
  <c r="B381" i="1"/>
  <c r="B380" i="1"/>
  <c r="B379" i="1"/>
  <c r="G415" i="3" s="1"/>
  <c r="C415" i="3" s="1"/>
  <c r="B378" i="1"/>
  <c r="B377" i="1"/>
  <c r="B376" i="1"/>
  <c r="B375" i="1"/>
  <c r="B374" i="1"/>
  <c r="B373" i="1"/>
  <c r="B372" i="1"/>
  <c r="B371" i="1"/>
  <c r="G430" i="3" s="1"/>
  <c r="C430" i="3" s="1"/>
  <c r="B370" i="1"/>
  <c r="B369" i="1"/>
  <c r="G423" i="3" s="1"/>
  <c r="C423" i="3" s="1"/>
  <c r="B368" i="1"/>
  <c r="B367" i="1"/>
  <c r="B366" i="1"/>
  <c r="B365" i="1"/>
  <c r="B364" i="1"/>
  <c r="B363" i="1"/>
  <c r="G399" i="3" s="1"/>
  <c r="C399" i="3" s="1"/>
  <c r="B362" i="1"/>
  <c r="B361" i="1"/>
  <c r="B360" i="1"/>
  <c r="B359" i="1"/>
  <c r="B358" i="1"/>
  <c r="B357" i="1"/>
  <c r="B356" i="1"/>
  <c r="B355" i="1"/>
  <c r="G392" i="3" s="1"/>
  <c r="B354" i="1"/>
  <c r="B353" i="1"/>
  <c r="B352" i="1"/>
  <c r="B351" i="1"/>
  <c r="B350" i="1"/>
  <c r="B349" i="1"/>
  <c r="B348" i="1"/>
  <c r="B347" i="1"/>
  <c r="G353" i="3" s="1"/>
  <c r="B346" i="1"/>
  <c r="B345" i="1"/>
  <c r="G333" i="3" s="1"/>
  <c r="B344" i="1"/>
  <c r="G122" i="3" s="1"/>
  <c r="B343" i="1"/>
  <c r="B342" i="1"/>
  <c r="B341" i="1"/>
  <c r="G340" i="1"/>
  <c r="D340" i="1"/>
  <c r="B340" i="1" s="1"/>
  <c r="G323" i="3" s="1"/>
  <c r="C340" i="1"/>
  <c r="B339" i="1"/>
  <c r="B338" i="1"/>
  <c r="B337" i="1"/>
  <c r="B336" i="1"/>
  <c r="B335" i="1"/>
  <c r="B334" i="1"/>
  <c r="B333" i="1"/>
  <c r="G367" i="3" s="1"/>
  <c r="B332" i="1"/>
  <c r="G331" i="1"/>
  <c r="D331" i="1"/>
  <c r="B330" i="1"/>
  <c r="B329" i="1"/>
  <c r="B328" i="1"/>
  <c r="B327" i="1"/>
  <c r="C326" i="1"/>
  <c r="B326" i="1"/>
  <c r="G322" i="3" s="1"/>
  <c r="C325" i="1"/>
  <c r="B325" i="1" s="1"/>
  <c r="G309" i="3" s="1"/>
  <c r="B324" i="1"/>
  <c r="B323" i="1"/>
  <c r="B322" i="1"/>
  <c r="G350" i="3" s="1"/>
  <c r="B321" i="1"/>
  <c r="B320" i="1"/>
  <c r="B319" i="1"/>
  <c r="G347" i="3" s="1"/>
  <c r="C347" i="3" s="1"/>
  <c r="B318" i="1"/>
  <c r="G346" i="3" s="1"/>
  <c r="B317" i="1"/>
  <c r="B316" i="1"/>
  <c r="B315" i="1"/>
  <c r="B314" i="1"/>
  <c r="G342" i="3" s="1"/>
  <c r="B313" i="1"/>
  <c r="G332" i="3" s="1"/>
  <c r="B312" i="1"/>
  <c r="B311" i="1"/>
  <c r="G330" i="3" s="1"/>
  <c r="B310" i="1"/>
  <c r="C309" i="1"/>
  <c r="B309" i="1"/>
  <c r="C308" i="1"/>
  <c r="B308" i="1"/>
  <c r="G311" i="3" s="1"/>
  <c r="C307" i="1"/>
  <c r="B307" i="1"/>
  <c r="C306" i="1"/>
  <c r="B306" i="1" s="1"/>
  <c r="D305" i="1"/>
  <c r="B305" i="1"/>
  <c r="B304" i="1"/>
  <c r="C303" i="1"/>
  <c r="B303" i="1" s="1"/>
  <c r="G366" i="3" s="1"/>
  <c r="B302" i="1"/>
  <c r="G371" i="3" s="1"/>
  <c r="C371" i="3" s="1"/>
  <c r="B301" i="1"/>
  <c r="B300" i="1"/>
  <c r="C299" i="1"/>
  <c r="B299" i="1"/>
  <c r="E298" i="1"/>
  <c r="D298" i="1"/>
  <c r="C298" i="1"/>
  <c r="B298" i="1"/>
  <c r="I297" i="1"/>
  <c r="B296" i="1"/>
  <c r="D295" i="1"/>
  <c r="C295" i="1"/>
  <c r="B295" i="1"/>
  <c r="G340" i="3" s="1"/>
  <c r="G294" i="1"/>
  <c r="D294" i="1"/>
  <c r="C294" i="1"/>
  <c r="B294" i="1" s="1"/>
  <c r="B293" i="1"/>
  <c r="B292" i="1"/>
  <c r="G291" i="1"/>
  <c r="D291" i="1"/>
  <c r="B291" i="1" s="1"/>
  <c r="G327" i="3" s="1"/>
  <c r="D290" i="1"/>
  <c r="B290" i="1" s="1"/>
  <c r="G326" i="3" s="1"/>
  <c r="G289" i="1"/>
  <c r="B289" i="1" s="1"/>
  <c r="G325" i="3" s="1"/>
  <c r="D289" i="1"/>
  <c r="D288" i="1"/>
  <c r="B288" i="1"/>
  <c r="G319" i="3" s="1"/>
  <c r="C319" i="3" s="1"/>
  <c r="G287" i="1"/>
  <c r="D287" i="1"/>
  <c r="C287" i="1"/>
  <c r="B286" i="1"/>
  <c r="G285" i="1"/>
  <c r="D285" i="1"/>
  <c r="C285" i="1"/>
  <c r="B285" i="1" s="1"/>
  <c r="G284" i="1"/>
  <c r="D284" i="1"/>
  <c r="C284" i="1"/>
  <c r="G283" i="1"/>
  <c r="D283" i="1"/>
  <c r="C283" i="1"/>
  <c r="B283" i="1" s="1"/>
  <c r="G313" i="3" s="1"/>
  <c r="D282" i="1"/>
  <c r="B282" i="1" s="1"/>
  <c r="G308" i="3" s="1"/>
  <c r="C308" i="3" s="1"/>
  <c r="C305" i="3" s="1"/>
  <c r="G281" i="1"/>
  <c r="D281" i="1"/>
  <c r="C281" i="1"/>
  <c r="B281" i="1" s="1"/>
  <c r="G307" i="3" s="1"/>
  <c r="G280" i="1"/>
  <c r="D280" i="1"/>
  <c r="C280" i="1"/>
  <c r="B280" i="1"/>
  <c r="D279" i="1"/>
  <c r="B279" i="1" s="1"/>
  <c r="B278" i="1"/>
  <c r="B277" i="1"/>
  <c r="D276" i="1"/>
  <c r="B276" i="1" s="1"/>
  <c r="G299" i="3" s="1"/>
  <c r="G275" i="1"/>
  <c r="D275" i="1"/>
  <c r="B274" i="1"/>
  <c r="B273" i="1"/>
  <c r="B272" i="1"/>
  <c r="B271" i="1"/>
  <c r="G284" i="3" s="1"/>
  <c r="E270" i="1"/>
  <c r="E411" i="1" s="1"/>
  <c r="D270" i="1"/>
  <c r="C270" i="1"/>
  <c r="B269" i="1"/>
  <c r="B268" i="1"/>
  <c r="B267" i="1"/>
  <c r="B266" i="1"/>
  <c r="G283" i="3" s="1"/>
  <c r="B265" i="1"/>
  <c r="B264" i="1"/>
  <c r="B263" i="1"/>
  <c r="G285" i="3" s="1"/>
  <c r="B262" i="1"/>
  <c r="B261" i="1"/>
  <c r="B260" i="1"/>
  <c r="B259" i="1"/>
  <c r="B258" i="1"/>
  <c r="B257" i="1"/>
  <c r="B256" i="1"/>
  <c r="B255" i="1"/>
  <c r="G267" i="3" s="1"/>
  <c r="C267" i="3" s="1"/>
  <c r="B254" i="1"/>
  <c r="B253" i="1"/>
  <c r="B252" i="1"/>
  <c r="B251" i="1"/>
  <c r="B250" i="1"/>
  <c r="G275" i="3" s="1"/>
  <c r="C275" i="3" s="1"/>
  <c r="B249" i="1"/>
  <c r="B248" i="1"/>
  <c r="B247" i="1"/>
  <c r="B246" i="1"/>
  <c r="D245" i="1"/>
  <c r="B245" i="1"/>
  <c r="B244" i="1"/>
  <c r="D243" i="1"/>
  <c r="B243" i="1" s="1"/>
  <c r="B242" i="1"/>
  <c r="D241" i="1"/>
  <c r="C241" i="1"/>
  <c r="D240" i="1"/>
  <c r="C240" i="1"/>
  <c r="B240" i="1"/>
  <c r="B239" i="1"/>
  <c r="B238" i="1"/>
  <c r="G237" i="1"/>
  <c r="D237" i="1"/>
  <c r="B237" i="1" s="1"/>
  <c r="D236" i="1"/>
  <c r="C236" i="1"/>
  <c r="B236" i="1"/>
  <c r="D235" i="1"/>
  <c r="B235" i="1"/>
  <c r="B234" i="1"/>
  <c r="G251" i="3" s="1"/>
  <c r="B233" i="1"/>
  <c r="B232" i="1"/>
  <c r="G231" i="1"/>
  <c r="D231" i="1"/>
  <c r="C231" i="1"/>
  <c r="B231" i="1" s="1"/>
  <c r="B230" i="1"/>
  <c r="G246" i="3" s="1"/>
  <c r="D229" i="1"/>
  <c r="C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D210" i="1"/>
  <c r="B210" i="1" s="1"/>
  <c r="G223" i="3" s="1"/>
  <c r="C223" i="3" s="1"/>
  <c r="C210" i="1"/>
  <c r="G209" i="1"/>
  <c r="D209" i="1"/>
  <c r="B209" i="1" s="1"/>
  <c r="G229" i="3" s="1"/>
  <c r="B208" i="1"/>
  <c r="D207" i="1"/>
  <c r="B207" i="1"/>
  <c r="D206" i="1"/>
  <c r="B206" i="1"/>
  <c r="G220" i="3" s="1"/>
  <c r="C220" i="3" s="1"/>
  <c r="B205" i="1"/>
  <c r="B204" i="1"/>
  <c r="B203" i="1"/>
  <c r="B202" i="1"/>
  <c r="B201" i="1"/>
  <c r="B200" i="1"/>
  <c r="G211" i="3" s="1"/>
  <c r="B199" i="1"/>
  <c r="D198" i="1"/>
  <c r="B198" i="1" s="1"/>
  <c r="G210" i="3" s="1"/>
  <c r="C210" i="3" s="1"/>
  <c r="D197" i="1"/>
  <c r="B197" i="1" s="1"/>
  <c r="B196" i="1"/>
  <c r="B195" i="1"/>
  <c r="B194" i="1"/>
  <c r="B193" i="1"/>
  <c r="B192" i="1"/>
  <c r="B191" i="1"/>
  <c r="G203" i="3" s="1"/>
  <c r="C203" i="3" s="1"/>
  <c r="B190" i="1"/>
  <c r="B189" i="1"/>
  <c r="D188" i="1"/>
  <c r="B188" i="1" s="1"/>
  <c r="G200" i="3" s="1"/>
  <c r="C200" i="3" s="1"/>
  <c r="D187" i="1"/>
  <c r="B187" i="1" s="1"/>
  <c r="B186" i="1"/>
  <c r="C185" i="1"/>
  <c r="B185" i="1" s="1"/>
  <c r="D184" i="1"/>
  <c r="B184" i="1"/>
  <c r="B183" i="1"/>
  <c r="C182" i="1"/>
  <c r="B182" i="1" s="1"/>
  <c r="D181" i="1"/>
  <c r="C181" i="1"/>
  <c r="B180" i="1"/>
  <c r="B179" i="1"/>
  <c r="B178" i="1"/>
  <c r="B177" i="1"/>
  <c r="B176" i="1"/>
  <c r="B175" i="1"/>
  <c r="C174" i="1"/>
  <c r="B174" i="1" s="1"/>
  <c r="D173" i="1"/>
  <c r="C173" i="1"/>
  <c r="B173" i="1" s="1"/>
  <c r="B172" i="1"/>
  <c r="G184" i="3" s="1"/>
  <c r="C184" i="3" s="1"/>
  <c r="B171" i="1"/>
  <c r="B170" i="1"/>
  <c r="B169" i="1"/>
  <c r="B168" i="1"/>
  <c r="B167" i="1"/>
  <c r="B166" i="1"/>
  <c r="B165" i="1"/>
  <c r="B164" i="1"/>
  <c r="G176" i="3" s="1"/>
  <c r="C176" i="3" s="1"/>
  <c r="B163" i="1"/>
  <c r="D162" i="1"/>
  <c r="C162" i="1"/>
  <c r="D161" i="1"/>
  <c r="C161" i="1"/>
  <c r="B161" i="1" s="1"/>
  <c r="D160" i="1"/>
  <c r="B160" i="1" s="1"/>
  <c r="G172" i="3" s="1"/>
  <c r="C172" i="3" s="1"/>
  <c r="B159" i="1"/>
  <c r="B158" i="1"/>
  <c r="B157" i="1"/>
  <c r="B156" i="1"/>
  <c r="B155" i="1"/>
  <c r="B154" i="1"/>
  <c r="B153" i="1"/>
  <c r="B152" i="1"/>
  <c r="B151" i="1"/>
  <c r="B150" i="1"/>
  <c r="D149" i="1"/>
  <c r="B149" i="1" s="1"/>
  <c r="B148" i="1"/>
  <c r="D147" i="1"/>
  <c r="B147" i="1"/>
  <c r="G159" i="3" s="1"/>
  <c r="D146" i="1"/>
  <c r="B146" i="1"/>
  <c r="B145" i="1"/>
  <c r="B144" i="1"/>
  <c r="B143" i="1"/>
  <c r="B142" i="1"/>
  <c r="B141" i="1"/>
  <c r="D140" i="1"/>
  <c r="C140" i="1"/>
  <c r="B140" i="1"/>
  <c r="G139" i="1"/>
  <c r="D139" i="1"/>
  <c r="B139" i="1" s="1"/>
  <c r="G151" i="3" s="1"/>
  <c r="C139" i="1"/>
  <c r="G138" i="1"/>
  <c r="D138" i="1"/>
  <c r="B138" i="1" s="1"/>
  <c r="B137" i="1"/>
  <c r="G136" i="1"/>
  <c r="D136" i="1"/>
  <c r="D135" i="1"/>
  <c r="B135" i="1" s="1"/>
  <c r="D134" i="1"/>
  <c r="B134" i="1" s="1"/>
  <c r="G146" i="3" s="1"/>
  <c r="C146" i="3" s="1"/>
  <c r="C134" i="1"/>
  <c r="G133" i="1"/>
  <c r="D133" i="1"/>
  <c r="B133" i="1" s="1"/>
  <c r="G132" i="1"/>
  <c r="B132" i="1" s="1"/>
  <c r="G144" i="3" s="1"/>
  <c r="C144" i="3" s="1"/>
  <c r="D131" i="1"/>
  <c r="B131" i="1" s="1"/>
  <c r="G130" i="1"/>
  <c r="D130" i="1"/>
  <c r="B130" i="1" s="1"/>
  <c r="D129" i="1"/>
  <c r="B129" i="1"/>
  <c r="H128" i="1"/>
  <c r="D128" i="1"/>
  <c r="B128" i="1" s="1"/>
  <c r="G140" i="3" s="1"/>
  <c r="C140" i="3" s="1"/>
  <c r="G127" i="1"/>
  <c r="D127" i="1"/>
  <c r="B126" i="1"/>
  <c r="B125" i="1"/>
  <c r="B124" i="1"/>
  <c r="B123" i="1"/>
  <c r="B122" i="1"/>
  <c r="B121" i="1"/>
  <c r="G129" i="3" s="1"/>
  <c r="D120" i="1"/>
  <c r="B120" i="1" s="1"/>
  <c r="G128" i="3" s="1"/>
  <c r="B119" i="1"/>
  <c r="B118" i="1"/>
  <c r="B117" i="1"/>
  <c r="B116" i="1"/>
  <c r="B115" i="1"/>
  <c r="B114" i="1"/>
  <c r="G121" i="3" s="1"/>
  <c r="B113" i="1"/>
  <c r="B112" i="1"/>
  <c r="B111" i="1"/>
  <c r="B110" i="1"/>
  <c r="B109" i="1"/>
  <c r="B108" i="1"/>
  <c r="B107" i="1"/>
  <c r="B106" i="1"/>
  <c r="G111" i="3" s="1"/>
  <c r="B105" i="1"/>
  <c r="B104" i="1"/>
  <c r="B103" i="1"/>
  <c r="G102" i="1"/>
  <c r="D102" i="1"/>
  <c r="C102" i="1"/>
  <c r="B102" i="1" s="1"/>
  <c r="B101" i="1"/>
  <c r="B100" i="1"/>
  <c r="B99" i="1"/>
  <c r="B98" i="1"/>
  <c r="B97" i="1"/>
  <c r="B96" i="1"/>
  <c r="B95" i="1"/>
  <c r="B94" i="1"/>
  <c r="B93" i="1"/>
  <c r="B92" i="1"/>
  <c r="G83" i="3" s="1"/>
  <c r="D91" i="1"/>
  <c r="B91" i="1" s="1"/>
  <c r="C91" i="1"/>
  <c r="B90" i="1"/>
  <c r="B89" i="1"/>
  <c r="B88" i="1"/>
  <c r="B87" i="1"/>
  <c r="G103" i="3" s="1"/>
  <c r="B86" i="1"/>
  <c r="B85" i="1"/>
  <c r="B84" i="1"/>
  <c r="B83" i="1"/>
  <c r="B82" i="1"/>
  <c r="B81" i="1"/>
  <c r="D80" i="1"/>
  <c r="B80" i="1"/>
  <c r="B79" i="1"/>
  <c r="B78" i="1"/>
  <c r="B77" i="1"/>
  <c r="B76" i="1"/>
  <c r="B75" i="1"/>
  <c r="B74" i="1"/>
  <c r="B73" i="1"/>
  <c r="B72" i="1"/>
  <c r="B71" i="1"/>
  <c r="G62" i="3" s="1"/>
  <c r="B70" i="1"/>
  <c r="B69" i="1"/>
  <c r="B68" i="1"/>
  <c r="B67" i="1"/>
  <c r="B66" i="1"/>
  <c r="B65" i="1"/>
  <c r="B64" i="1"/>
  <c r="B63" i="1"/>
  <c r="G96" i="3" s="1"/>
  <c r="B62" i="1"/>
  <c r="B61" i="1"/>
  <c r="C60" i="1"/>
  <c r="B60" i="1" s="1"/>
  <c r="B59" i="1"/>
  <c r="D58" i="1"/>
  <c r="B58" i="1"/>
  <c r="B57" i="1"/>
  <c r="B56" i="1"/>
  <c r="D55" i="1"/>
  <c r="B55" i="1"/>
  <c r="B54" i="1"/>
  <c r="B53" i="1"/>
  <c r="G54" i="3" s="1"/>
  <c r="D52" i="1"/>
  <c r="C52" i="1"/>
  <c r="B52" i="1" s="1"/>
  <c r="G53" i="3" s="1"/>
  <c r="C53" i="3" s="1"/>
  <c r="B51" i="1"/>
  <c r="H50" i="1"/>
  <c r="B50" i="1"/>
  <c r="B49" i="1"/>
  <c r="B48" i="1"/>
  <c r="B47" i="1"/>
  <c r="B46" i="1"/>
  <c r="B45" i="1"/>
  <c r="D44" i="1"/>
  <c r="B44" i="1" s="1"/>
  <c r="G43" i="1"/>
  <c r="D43" i="1"/>
  <c r="B43" i="1"/>
  <c r="G42" i="3" s="1"/>
  <c r="G42" i="1"/>
  <c r="D42" i="1"/>
  <c r="C42" i="1"/>
  <c r="B42" i="1" s="1"/>
  <c r="B41" i="1"/>
  <c r="D40" i="1"/>
  <c r="C40" i="1"/>
  <c r="B40" i="1"/>
  <c r="D39" i="1"/>
  <c r="B39" i="1"/>
  <c r="D38" i="1"/>
  <c r="B38" i="1" s="1"/>
  <c r="G37" i="1"/>
  <c r="D37" i="1"/>
  <c r="B37" i="1" s="1"/>
  <c r="D36" i="1"/>
  <c r="B36" i="1" s="1"/>
  <c r="B35" i="1"/>
  <c r="B34" i="1"/>
  <c r="C33" i="1"/>
  <c r="B33" i="1" s="1"/>
  <c r="B32" i="1"/>
  <c r="D31" i="1"/>
  <c r="B31" i="1"/>
  <c r="D30" i="1"/>
  <c r="B30" i="1"/>
  <c r="B29" i="1"/>
  <c r="D28" i="1"/>
  <c r="B28" i="1" s="1"/>
  <c r="B27" i="1"/>
  <c r="B26" i="1"/>
  <c r="D25" i="1"/>
  <c r="B25" i="1" s="1"/>
  <c r="D24" i="1"/>
  <c r="B24" i="1" s="1"/>
  <c r="G23" i="3" s="1"/>
  <c r="C23" i="3" s="1"/>
  <c r="G23" i="1"/>
  <c r="D23" i="1"/>
  <c r="C23" i="1"/>
  <c r="B23" i="1" s="1"/>
  <c r="B22" i="1"/>
  <c r="C21" i="1"/>
  <c r="B21" i="1"/>
  <c r="G20" i="1"/>
  <c r="G411" i="1" s="1"/>
  <c r="D20" i="1"/>
  <c r="C20" i="1"/>
  <c r="G429" i="3"/>
  <c r="C429" i="3" s="1"/>
  <c r="G428" i="3"/>
  <c r="C428" i="3"/>
  <c r="G427" i="3"/>
  <c r="C427" i="3" s="1"/>
  <c r="G426" i="3"/>
  <c r="C426" i="3" s="1"/>
  <c r="G425" i="3"/>
  <c r="C425" i="3" s="1"/>
  <c r="G424" i="3"/>
  <c r="C424" i="3" s="1"/>
  <c r="G422" i="3"/>
  <c r="C422" i="3" s="1"/>
  <c r="G421" i="3"/>
  <c r="C421" i="3" s="1"/>
  <c r="G420" i="3"/>
  <c r="C420" i="3" s="1"/>
  <c r="G418" i="3"/>
  <c r="C418" i="3" s="1"/>
  <c r="G417" i="3"/>
  <c r="C417" i="3" s="1"/>
  <c r="G416" i="3"/>
  <c r="C416" i="3" s="1"/>
  <c r="G414" i="3"/>
  <c r="C414" i="3" s="1"/>
  <c r="G413" i="3"/>
  <c r="C413" i="3" s="1"/>
  <c r="G412" i="3"/>
  <c r="C412" i="3" s="1"/>
  <c r="G411" i="3"/>
  <c r="C411" i="3" s="1"/>
  <c r="G410" i="3"/>
  <c r="C410" i="3" s="1"/>
  <c r="G409" i="3"/>
  <c r="C409" i="3" s="1"/>
  <c r="G408" i="3"/>
  <c r="C408" i="3" s="1"/>
  <c r="G407" i="3"/>
  <c r="C407" i="3" s="1"/>
  <c r="G406" i="3"/>
  <c r="C406" i="3" s="1"/>
  <c r="G405" i="3"/>
  <c r="C405" i="3" s="1"/>
  <c r="G404" i="3"/>
  <c r="C404" i="3"/>
  <c r="G403" i="3"/>
  <c r="C403" i="3" s="1"/>
  <c r="G402" i="3"/>
  <c r="C402" i="3" s="1"/>
  <c r="G401" i="3"/>
  <c r="C401" i="3" s="1"/>
  <c r="G400" i="3"/>
  <c r="C400" i="3"/>
  <c r="G398" i="3"/>
  <c r="C398" i="3" s="1"/>
  <c r="G397" i="3"/>
  <c r="C397" i="3" s="1"/>
  <c r="G396" i="3"/>
  <c r="C396" i="3" s="1"/>
  <c r="G395" i="3"/>
  <c r="C395" i="3" s="1"/>
  <c r="G394" i="3"/>
  <c r="C394" i="3" s="1"/>
  <c r="F393" i="3"/>
  <c r="E393" i="3"/>
  <c r="E391" i="3" s="1"/>
  <c r="D393" i="3"/>
  <c r="F391" i="3"/>
  <c r="D391" i="3"/>
  <c r="G386" i="3"/>
  <c r="C386" i="3" s="1"/>
  <c r="G384" i="3"/>
  <c r="C384" i="3" s="1"/>
  <c r="G383" i="3"/>
  <c r="C383" i="3" s="1"/>
  <c r="G381" i="3"/>
  <c r="C381" i="3" s="1"/>
  <c r="G380" i="3"/>
  <c r="C380" i="3" s="1"/>
  <c r="G379" i="3"/>
  <c r="C379" i="3" s="1"/>
  <c r="G378" i="3"/>
  <c r="C378" i="3" s="1"/>
  <c r="G377" i="3"/>
  <c r="C377" i="3" s="1"/>
  <c r="G376" i="3"/>
  <c r="C376" i="3" s="1"/>
  <c r="G375" i="3"/>
  <c r="C375" i="3" s="1"/>
  <c r="G374" i="3"/>
  <c r="C374" i="3" s="1"/>
  <c r="G373" i="3"/>
  <c r="C373" i="3"/>
  <c r="G372" i="3"/>
  <c r="C372" i="3" s="1"/>
  <c r="G370" i="3"/>
  <c r="E370" i="3"/>
  <c r="C370" i="3"/>
  <c r="G369" i="3"/>
  <c r="C369" i="3" s="1"/>
  <c r="G368" i="3"/>
  <c r="C368" i="3"/>
  <c r="C367" i="3"/>
  <c r="G365" i="3"/>
  <c r="G364" i="3"/>
  <c r="C364" i="3" s="1"/>
  <c r="G363" i="3"/>
  <c r="C363" i="3"/>
  <c r="G362" i="3"/>
  <c r="C362" i="3"/>
  <c r="G361" i="3"/>
  <c r="C361" i="3"/>
  <c r="G360" i="3"/>
  <c r="C360" i="3" s="1"/>
  <c r="C358" i="3"/>
  <c r="G357" i="3"/>
  <c r="C357" i="3"/>
  <c r="G356" i="3"/>
  <c r="C356" i="3" s="1"/>
  <c r="G355" i="3"/>
  <c r="C355" i="3"/>
  <c r="G354" i="3"/>
  <c r="C354" i="3"/>
  <c r="C353" i="3"/>
  <c r="G352" i="3"/>
  <c r="C352" i="3" s="1"/>
  <c r="G351" i="3"/>
  <c r="C351" i="3"/>
  <c r="C350" i="3"/>
  <c r="G349" i="3"/>
  <c r="C349" i="3"/>
  <c r="G348" i="3"/>
  <c r="C348" i="3" s="1"/>
  <c r="C346" i="3"/>
  <c r="G345" i="3"/>
  <c r="C345" i="3"/>
  <c r="G344" i="3"/>
  <c r="C344" i="3" s="1"/>
  <c r="G343" i="3"/>
  <c r="C343" i="3"/>
  <c r="C342" i="3"/>
  <c r="G341" i="3"/>
  <c r="E341" i="3"/>
  <c r="C341" i="3" s="1"/>
  <c r="F339" i="3"/>
  <c r="E339" i="3"/>
  <c r="D339" i="3"/>
  <c r="G338" i="3"/>
  <c r="F337" i="3"/>
  <c r="E337" i="3"/>
  <c r="D337" i="3"/>
  <c r="G336" i="3"/>
  <c r="C336" i="3" s="1"/>
  <c r="C324" i="3" s="1"/>
  <c r="G335" i="3"/>
  <c r="G334" i="3"/>
  <c r="G331" i="3"/>
  <c r="G329" i="3"/>
  <c r="G328" i="3"/>
  <c r="F324" i="3"/>
  <c r="E324" i="3"/>
  <c r="D324" i="3"/>
  <c r="E323" i="3"/>
  <c r="E322" i="3"/>
  <c r="G321" i="3"/>
  <c r="E321" i="3"/>
  <c r="G320" i="3"/>
  <c r="C320" i="3"/>
  <c r="E318" i="3"/>
  <c r="G317" i="3"/>
  <c r="C317" i="3" s="1"/>
  <c r="G316" i="3"/>
  <c r="E316" i="3"/>
  <c r="E315" i="3"/>
  <c r="G314" i="3"/>
  <c r="E314" i="3"/>
  <c r="C314" i="3"/>
  <c r="C312" i="3" s="1"/>
  <c r="E313" i="3"/>
  <c r="E312" i="3" s="1"/>
  <c r="C313" i="3"/>
  <c r="F312" i="3"/>
  <c r="D312" i="3"/>
  <c r="E311" i="3"/>
  <c r="G310" i="3"/>
  <c r="E310" i="3"/>
  <c r="E309" i="3"/>
  <c r="E307" i="3"/>
  <c r="G306" i="3"/>
  <c r="E306" i="3"/>
  <c r="E305" i="3" s="1"/>
  <c r="F305" i="3"/>
  <c r="D305" i="3"/>
  <c r="G303" i="3"/>
  <c r="G302" i="3"/>
  <c r="G301" i="3"/>
  <c r="G300" i="3"/>
  <c r="F297" i="3"/>
  <c r="F296" i="3" s="1"/>
  <c r="E297" i="3"/>
  <c r="D297" i="3"/>
  <c r="C297" i="3"/>
  <c r="D296" i="3"/>
  <c r="G295" i="3"/>
  <c r="G294" i="3"/>
  <c r="G293" i="3"/>
  <c r="G292" i="3"/>
  <c r="G291" i="3"/>
  <c r="G290" i="3"/>
  <c r="G289" i="3"/>
  <c r="G288" i="3"/>
  <c r="G287" i="3"/>
  <c r="G286" i="3"/>
  <c r="G282" i="3"/>
  <c r="G281" i="3"/>
  <c r="C280" i="3"/>
  <c r="G279" i="3"/>
  <c r="F278" i="3"/>
  <c r="E278" i="3"/>
  <c r="D278" i="3"/>
  <c r="G277" i="3"/>
  <c r="C277" i="3"/>
  <c r="G276" i="3"/>
  <c r="C276" i="3" s="1"/>
  <c r="G274" i="3"/>
  <c r="C274" i="3" s="1"/>
  <c r="G273" i="3"/>
  <c r="C273" i="3"/>
  <c r="G272" i="3"/>
  <c r="C272" i="3" s="1"/>
  <c r="G271" i="3"/>
  <c r="C271" i="3" s="1"/>
  <c r="G270" i="3"/>
  <c r="C270" i="3" s="1"/>
  <c r="G269" i="3"/>
  <c r="C269" i="3"/>
  <c r="G268" i="3"/>
  <c r="C268" i="3" s="1"/>
  <c r="G266" i="3"/>
  <c r="C266" i="3" s="1"/>
  <c r="G265" i="3"/>
  <c r="C265" i="3" s="1"/>
  <c r="G264" i="3"/>
  <c r="C264" i="3" s="1"/>
  <c r="G263" i="3"/>
  <c r="C263" i="3" s="1"/>
  <c r="G262" i="3"/>
  <c r="C262" i="3" s="1"/>
  <c r="G261" i="3"/>
  <c r="C261" i="3" s="1"/>
  <c r="G260" i="3"/>
  <c r="C260" i="3" s="1"/>
  <c r="G259" i="3"/>
  <c r="C259" i="3" s="1"/>
  <c r="G258" i="3"/>
  <c r="C258" i="3" s="1"/>
  <c r="G257" i="3"/>
  <c r="C257" i="3" s="1"/>
  <c r="G256" i="3"/>
  <c r="C256" i="3" s="1"/>
  <c r="G254" i="3"/>
  <c r="C254" i="3"/>
  <c r="G253" i="3"/>
  <c r="C253" i="3"/>
  <c r="F252" i="3"/>
  <c r="E252" i="3"/>
  <c r="D252" i="3"/>
  <c r="G250" i="3"/>
  <c r="G249" i="3"/>
  <c r="G248" i="3"/>
  <c r="C248" i="3" s="1"/>
  <c r="C246" i="3"/>
  <c r="F245" i="3"/>
  <c r="E245" i="3"/>
  <c r="D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C232" i="3" s="1"/>
  <c r="C231" i="3" s="1"/>
  <c r="F231" i="3"/>
  <c r="E231" i="3"/>
  <c r="D231" i="3"/>
  <c r="C229" i="3"/>
  <c r="G228" i="3"/>
  <c r="G227" i="3"/>
  <c r="G226" i="3"/>
  <c r="G225" i="3"/>
  <c r="G224" i="3"/>
  <c r="C224" i="3"/>
  <c r="G222" i="3"/>
  <c r="G221" i="3"/>
  <c r="C221" i="3" s="1"/>
  <c r="G219" i="3"/>
  <c r="C219" i="3" s="1"/>
  <c r="F218" i="3"/>
  <c r="F217" i="3" s="1"/>
  <c r="E218" i="3"/>
  <c r="E217" i="3" s="1"/>
  <c r="D218" i="3"/>
  <c r="D217" i="3"/>
  <c r="G216" i="3"/>
  <c r="G215" i="3"/>
  <c r="G214" i="3"/>
  <c r="G213" i="3"/>
  <c r="G212" i="3"/>
  <c r="G209" i="3"/>
  <c r="C209" i="3" s="1"/>
  <c r="G208" i="3"/>
  <c r="G207" i="3"/>
  <c r="G206" i="3"/>
  <c r="C206" i="3" s="1"/>
  <c r="G205" i="3"/>
  <c r="G204" i="3"/>
  <c r="C204" i="3" s="1"/>
  <c r="G202" i="3"/>
  <c r="C202" i="3"/>
  <c r="F201" i="3"/>
  <c r="E201" i="3"/>
  <c r="D201" i="3"/>
  <c r="G199" i="3"/>
  <c r="C199" i="3" s="1"/>
  <c r="G198" i="3"/>
  <c r="C198" i="3" s="1"/>
  <c r="G197" i="3"/>
  <c r="C197" i="3" s="1"/>
  <c r="G196" i="3"/>
  <c r="C196" i="3" s="1"/>
  <c r="G195" i="3"/>
  <c r="C195" i="3"/>
  <c r="G194" i="3"/>
  <c r="C194" i="3" s="1"/>
  <c r="G192" i="3"/>
  <c r="C192" i="3" s="1"/>
  <c r="G191" i="3"/>
  <c r="C191" i="3" s="1"/>
  <c r="G190" i="3"/>
  <c r="C190" i="3"/>
  <c r="G189" i="3"/>
  <c r="C189" i="3" s="1"/>
  <c r="G188" i="3"/>
  <c r="C188" i="3" s="1"/>
  <c r="G187" i="3"/>
  <c r="C187" i="3" s="1"/>
  <c r="G186" i="3"/>
  <c r="C186" i="3" s="1"/>
  <c r="G185" i="3"/>
  <c r="C185" i="3" s="1"/>
  <c r="G183" i="3"/>
  <c r="C183" i="3" s="1"/>
  <c r="G182" i="3"/>
  <c r="C182" i="3"/>
  <c r="G181" i="3"/>
  <c r="C181" i="3" s="1"/>
  <c r="G180" i="3"/>
  <c r="C180" i="3" s="1"/>
  <c r="G179" i="3"/>
  <c r="C179" i="3"/>
  <c r="G178" i="3"/>
  <c r="C178" i="3" s="1"/>
  <c r="G177" i="3"/>
  <c r="C177" i="3" s="1"/>
  <c r="G175" i="3"/>
  <c r="C175" i="3" s="1"/>
  <c r="G173" i="3"/>
  <c r="C173" i="3" s="1"/>
  <c r="G171" i="3"/>
  <c r="C171" i="3" s="1"/>
  <c r="G170" i="3"/>
  <c r="C170" i="3"/>
  <c r="G169" i="3"/>
  <c r="C169" i="3" s="1"/>
  <c r="G168" i="3"/>
  <c r="C168" i="3" s="1"/>
  <c r="G167" i="3"/>
  <c r="C167" i="3"/>
  <c r="G166" i="3"/>
  <c r="C166" i="3" s="1"/>
  <c r="G165" i="3"/>
  <c r="C165" i="3" s="1"/>
  <c r="G164" i="3"/>
  <c r="C164" i="3" s="1"/>
  <c r="G163" i="3"/>
  <c r="C163" i="3" s="1"/>
  <c r="G162" i="3"/>
  <c r="C162" i="3"/>
  <c r="G161" i="3"/>
  <c r="C161" i="3" s="1"/>
  <c r="G160" i="3"/>
  <c r="C159" i="3"/>
  <c r="G158" i="3"/>
  <c r="C158" i="3" s="1"/>
  <c r="G157" i="3"/>
  <c r="C157" i="3" s="1"/>
  <c r="G156" i="3"/>
  <c r="C156" i="3"/>
  <c r="G155" i="3"/>
  <c r="C155" i="3"/>
  <c r="G154" i="3"/>
  <c r="C154" i="3" s="1"/>
  <c r="G153" i="3"/>
  <c r="C153" i="3" s="1"/>
  <c r="G152" i="3"/>
  <c r="C152" i="3"/>
  <c r="D151" i="3"/>
  <c r="C151" i="3"/>
  <c r="G150" i="3"/>
  <c r="C150" i="3" s="1"/>
  <c r="G149" i="3"/>
  <c r="C149" i="3" s="1"/>
  <c r="G147" i="3"/>
  <c r="C147" i="3"/>
  <c r="G145" i="3"/>
  <c r="C145" i="3" s="1"/>
  <c r="G143" i="3"/>
  <c r="C143" i="3"/>
  <c r="G142" i="3"/>
  <c r="C142" i="3" s="1"/>
  <c r="G141" i="3"/>
  <c r="C141" i="3"/>
  <c r="F139" i="3"/>
  <c r="E139" i="3"/>
  <c r="D139" i="3"/>
  <c r="F137" i="3"/>
  <c r="E137" i="3"/>
  <c r="D137" i="3"/>
  <c r="C137" i="3"/>
  <c r="F136" i="3"/>
  <c r="G135" i="3"/>
  <c r="G134" i="3"/>
  <c r="G133" i="3"/>
  <c r="G132" i="3"/>
  <c r="G131" i="3"/>
  <c r="G130" i="3"/>
  <c r="C128" i="3"/>
  <c r="G127" i="3"/>
  <c r="G126" i="3"/>
  <c r="G125" i="3"/>
  <c r="G124" i="3"/>
  <c r="G123" i="3"/>
  <c r="G120" i="3"/>
  <c r="G119" i="3"/>
  <c r="G118" i="3"/>
  <c r="G117" i="3"/>
  <c r="G116" i="3"/>
  <c r="G115" i="3"/>
  <c r="G114" i="3"/>
  <c r="F113" i="3"/>
  <c r="E113" i="3"/>
  <c r="D113" i="3"/>
  <c r="C113" i="3"/>
  <c r="G112" i="3"/>
  <c r="G110" i="3"/>
  <c r="G109" i="3"/>
  <c r="G108" i="3"/>
  <c r="F108" i="3"/>
  <c r="G107" i="3"/>
  <c r="F107" i="3"/>
  <c r="G106" i="3"/>
  <c r="G105" i="3"/>
  <c r="G104" i="3"/>
  <c r="G102" i="3"/>
  <c r="G101" i="3"/>
  <c r="G100" i="3"/>
  <c r="G99" i="3"/>
  <c r="G98" i="3"/>
  <c r="C98" i="3" s="1"/>
  <c r="G97" i="3"/>
  <c r="G95" i="3"/>
  <c r="G94" i="3"/>
  <c r="G93" i="3"/>
  <c r="G92" i="3"/>
  <c r="C92" i="3"/>
  <c r="G91" i="3"/>
  <c r="G90" i="3"/>
  <c r="G89" i="3"/>
  <c r="G88" i="3"/>
  <c r="G87" i="3"/>
  <c r="G86" i="3"/>
  <c r="G85" i="3"/>
  <c r="G84" i="3"/>
  <c r="G82" i="3"/>
  <c r="G81" i="3"/>
  <c r="G80" i="3"/>
  <c r="G79" i="3"/>
  <c r="G78" i="3"/>
  <c r="G77" i="3"/>
  <c r="G76" i="3"/>
  <c r="G75" i="3"/>
  <c r="G74" i="3"/>
  <c r="G73" i="3"/>
  <c r="G72" i="3"/>
  <c r="G71" i="3"/>
  <c r="C71" i="3"/>
  <c r="G70" i="3"/>
  <c r="G69" i="3"/>
  <c r="G68" i="3"/>
  <c r="G67" i="3"/>
  <c r="G66" i="3"/>
  <c r="G65" i="3"/>
  <c r="G64" i="3"/>
  <c r="C64" i="3"/>
  <c r="G63" i="3"/>
  <c r="C63" i="3" s="1"/>
  <c r="C62" i="3"/>
  <c r="G61" i="3"/>
  <c r="C61" i="3"/>
  <c r="G60" i="3"/>
  <c r="C60" i="3"/>
  <c r="G59" i="3"/>
  <c r="C59" i="3" s="1"/>
  <c r="G58" i="3"/>
  <c r="C58" i="3"/>
  <c r="G57" i="3"/>
  <c r="C57" i="3"/>
  <c r="G56" i="3"/>
  <c r="G55" i="3"/>
  <c r="F55" i="3"/>
  <c r="F17" i="3" s="1"/>
  <c r="E55" i="3"/>
  <c r="D55" i="3"/>
  <c r="G52" i="3"/>
  <c r="C52" i="3"/>
  <c r="G51" i="3"/>
  <c r="C51" i="3" s="1"/>
  <c r="C50" i="3" s="1"/>
  <c r="F50" i="3"/>
  <c r="E50" i="3"/>
  <c r="D50" i="3"/>
  <c r="G49" i="3"/>
  <c r="G48" i="3"/>
  <c r="C48" i="3" s="1"/>
  <c r="G47" i="3"/>
  <c r="C47" i="3"/>
  <c r="G46" i="3"/>
  <c r="C46" i="3"/>
  <c r="G45" i="3"/>
  <c r="G44" i="3"/>
  <c r="G43" i="3"/>
  <c r="E42" i="3"/>
  <c r="E18" i="3" s="1"/>
  <c r="G41" i="3"/>
  <c r="C41" i="3" s="1"/>
  <c r="G40" i="3"/>
  <c r="C40" i="3"/>
  <c r="G39" i="3"/>
  <c r="C39" i="3" s="1"/>
  <c r="G38" i="3"/>
  <c r="C38" i="3" s="1"/>
  <c r="G37" i="3"/>
  <c r="C37" i="3"/>
  <c r="G36" i="3"/>
  <c r="C36" i="3" s="1"/>
  <c r="G35" i="3"/>
  <c r="C35" i="3" s="1"/>
  <c r="G34" i="3"/>
  <c r="C34" i="3" s="1"/>
  <c r="G33" i="3"/>
  <c r="C33" i="3" s="1"/>
  <c r="G32" i="3"/>
  <c r="C32" i="3"/>
  <c r="G31" i="3"/>
  <c r="C31" i="3" s="1"/>
  <c r="G30" i="3"/>
  <c r="C30" i="3"/>
  <c r="G29" i="3"/>
  <c r="C29" i="3"/>
  <c r="G28" i="3"/>
  <c r="C28" i="3"/>
  <c r="G27" i="3"/>
  <c r="C27" i="3" s="1"/>
  <c r="G26" i="3"/>
  <c r="C26" i="3" s="1"/>
  <c r="G25" i="3"/>
  <c r="C25" i="3" s="1"/>
  <c r="G24" i="3"/>
  <c r="C24" i="3"/>
  <c r="G22" i="3"/>
  <c r="C22" i="3" s="1"/>
  <c r="G21" i="3"/>
  <c r="C21" i="3"/>
  <c r="G20" i="3"/>
  <c r="C20" i="3" s="1"/>
  <c r="F18" i="3"/>
  <c r="D18" i="3"/>
  <c r="C55" i="3" l="1"/>
  <c r="D136" i="3"/>
  <c r="D17" i="3" s="1"/>
  <c r="C42" i="3"/>
  <c r="C411" i="1"/>
  <c r="E136" i="3"/>
  <c r="E17" i="3" s="1"/>
  <c r="G305" i="3"/>
  <c r="C338" i="3"/>
  <c r="C337" i="3" s="1"/>
  <c r="G337" i="3"/>
  <c r="G393" i="3"/>
  <c r="G391" i="3" s="1"/>
  <c r="D411" i="1"/>
  <c r="G312" i="3"/>
  <c r="G324" i="3"/>
  <c r="G113" i="3"/>
  <c r="G218" i="3"/>
  <c r="G231" i="3"/>
  <c r="C393" i="3"/>
  <c r="B162" i="1"/>
  <c r="G174" i="3" s="1"/>
  <c r="C174" i="3" s="1"/>
  <c r="B275" i="1"/>
  <c r="G298" i="3" s="1"/>
  <c r="G297" i="3" s="1"/>
  <c r="B331" i="1"/>
  <c r="G382" i="3" s="1"/>
  <c r="C382" i="3" s="1"/>
  <c r="G50" i="3"/>
  <c r="G201" i="3"/>
  <c r="C218" i="3"/>
  <c r="B270" i="1"/>
  <c r="G280" i="3" s="1"/>
  <c r="B287" i="1"/>
  <c r="G318" i="3" s="1"/>
  <c r="C340" i="3"/>
  <c r="C339" i="3" s="1"/>
  <c r="C296" i="3" s="1"/>
  <c r="G339" i="3"/>
  <c r="C201" i="3"/>
  <c r="C245" i="3"/>
  <c r="B20" i="1"/>
  <c r="G19" i="3" s="1"/>
  <c r="B241" i="1"/>
  <c r="G255" i="3" s="1"/>
  <c r="B284" i="1"/>
  <c r="G315" i="3" s="1"/>
  <c r="C279" i="3"/>
  <c r="C278" i="3" s="1"/>
  <c r="G278" i="3"/>
  <c r="C392" i="3"/>
  <c r="C391" i="3" s="1"/>
  <c r="E296" i="3"/>
  <c r="B127" i="1"/>
  <c r="G138" i="3" s="1"/>
  <c r="G137" i="3" s="1"/>
  <c r="B136" i="1"/>
  <c r="G148" i="3" s="1"/>
  <c r="C148" i="3" s="1"/>
  <c r="C139" i="3" s="1"/>
  <c r="C136" i="3" s="1"/>
  <c r="B411" i="1"/>
  <c r="B181" i="1"/>
  <c r="G193" i="3" s="1"/>
  <c r="C193" i="3" s="1"/>
  <c r="B229" i="1"/>
  <c r="G247" i="3" s="1"/>
  <c r="G245" i="3" s="1"/>
  <c r="I411" i="1"/>
  <c r="B297" i="1"/>
  <c r="G385" i="3" s="1"/>
  <c r="C385" i="3" s="1"/>
  <c r="G296" i="3" l="1"/>
  <c r="C255" i="3"/>
  <c r="C252" i="3" s="1"/>
  <c r="C217" i="3" s="1"/>
  <c r="G252" i="3"/>
  <c r="G217" i="3" s="1"/>
  <c r="G139" i="3"/>
  <c r="G136" i="3" s="1"/>
  <c r="C19" i="3"/>
  <c r="C18" i="3" s="1"/>
  <c r="G18" i="3"/>
  <c r="C17" i="3" l="1"/>
  <c r="G17" i="3"/>
</calcChain>
</file>

<file path=xl/sharedStrings.xml><?xml version="1.0" encoding="utf-8"?>
<sst xmlns="http://schemas.openxmlformats.org/spreadsheetml/2006/main" count="854" uniqueCount="516">
  <si>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</si>
  <si>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</si>
  <si>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</si>
  <si>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</si>
  <si>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</si>
  <si>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</si>
  <si>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</si>
  <si>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</si>
  <si>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</si>
  <si>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</si>
  <si>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</si>
  <si>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</si>
  <si>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</si>
  <si>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</si>
  <si>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</si>
  <si>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</si>
  <si>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</si>
  <si>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</si>
  <si>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</si>
  <si>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</si>
  <si>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Novada teritorijas apsaimniekošana</t>
  </si>
  <si>
    <t>Balvu pagasta komunālā saimniecība</t>
  </si>
  <si>
    <t>Berzkalnes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</si>
  <si>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</si>
  <si>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</si>
  <si>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</si>
  <si>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</si>
  <si>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</si>
  <si>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</si>
  <si>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</si>
  <si>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</si>
  <si>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</si>
  <si>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t.sk. pašvaldības dotācija apzaļumošanai un labiekārtošanai</t>
  </si>
  <si>
    <t>Briežuciema FVP</t>
  </si>
  <si>
    <t>Krišjānu FVP</t>
  </si>
  <si>
    <t>Kubulu VFP</t>
  </si>
  <si>
    <t>Lazdulejas VFP</t>
  </si>
  <si>
    <t>Vectilžas VFP</t>
  </si>
  <si>
    <t>Vīksnas VFP</t>
  </si>
  <si>
    <t>Balvu pagasta sporta centrs</t>
  </si>
  <si>
    <t xml:space="preserve">Sporta pasākumi novadā </t>
  </si>
  <si>
    <t>Sporta pasākumi Tilžā</t>
  </si>
  <si>
    <t>Sporta pasākumi Vīksnā</t>
  </si>
  <si>
    <t>Balvu Centrālā bibliotēka</t>
  </si>
  <si>
    <t>KAC pasākumi</t>
  </si>
  <si>
    <t>Balvu pagasta Tautas nams</t>
  </si>
  <si>
    <t>Bērzkalnes telpas kultūras pasākumiem</t>
  </si>
  <si>
    <t>Lazdulejas telpas kultūras pasākumiem</t>
  </si>
  <si>
    <t>Bērzpils pagasta Saieta nams</t>
  </si>
  <si>
    <t>Briežuciema Tautas nams</t>
  </si>
  <si>
    <t>Krišjāņu Tautas nams</t>
  </si>
  <si>
    <t>Kubulu kultūras nams</t>
  </si>
  <si>
    <t>Tilžas kultūras nams</t>
  </si>
  <si>
    <t>Vectilžas sporta un atpūtas centrs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</si>
  <si>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</si>
  <si>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</si>
  <si>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</si>
  <si>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</si>
  <si>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</si>
  <si>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</si>
  <si>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</si>
  <si>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</si>
  <si>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Tilžas vidusskola</t>
  </si>
  <si>
    <t>Balvu mūzikas skola</t>
  </si>
  <si>
    <t>Balvu mākslas skola</t>
  </si>
  <si>
    <t>Balvu sporta skola</t>
  </si>
  <si>
    <t>Balvu Bērnu un jauniešu centrs</t>
  </si>
  <si>
    <t>Izglītības, kultūras un sporta pārvalde</t>
  </si>
  <si>
    <t>Izglītības, kultūras un sporta pārvaldes pasākumi</t>
  </si>
  <si>
    <t>Transporta izdevumu kompensācija skolēniem</t>
  </si>
  <si>
    <t>Pansionāts "Balvi"</t>
  </si>
  <si>
    <t>Bāriņtiesa</t>
  </si>
  <si>
    <t>Sociālais dienests</t>
  </si>
  <si>
    <t>Sociālo māju uzturēšana</t>
  </si>
  <si>
    <t>Asisitenta pakalpojumi personām ar invaliditāti</t>
  </si>
  <si>
    <t>KOPĀ</t>
  </si>
  <si>
    <t>Klasifikācijas kods</t>
  </si>
  <si>
    <t>Iestādes un pasākumi</t>
  </si>
  <si>
    <t>01.000</t>
  </si>
  <si>
    <t>Vispārējie valdības dienesti</t>
  </si>
  <si>
    <t>03.000</t>
  </si>
  <si>
    <t>Sabiedriskā kārtība un drošība</t>
  </si>
  <si>
    <t>04.000</t>
  </si>
  <si>
    <t>Balvu novada Būvvalde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</si>
  <si>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</si>
  <si>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</si>
  <si>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</si>
  <si>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</si>
  <si>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</si>
  <si>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</si>
  <si>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</si>
  <si>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</si>
  <si>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</si>
  <si>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</si>
  <si>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</si>
  <si>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Vectilžas feldšeru veselības punkts</t>
  </si>
  <si>
    <t>Vīksnas feldšeru veselības punkts</t>
  </si>
  <si>
    <t>08.000</t>
  </si>
  <si>
    <t>Atpūta, kultūras un reliģija</t>
  </si>
  <si>
    <t>Atpūtas un sporta pasākumi</t>
  </si>
  <si>
    <t>Sporta pasākumi novadā</t>
  </si>
  <si>
    <t>Kultūra</t>
  </si>
  <si>
    <t>Bibliotēkas</t>
  </si>
  <si>
    <t>Muzeji</t>
  </si>
  <si>
    <t>Kultūras nami</t>
  </si>
  <si>
    <t>Briežuciema pagasta Tautas nams</t>
  </si>
  <si>
    <t>Krišjāņu pagasta Tautas nams</t>
  </si>
  <si>
    <t>Kubulu pagasta kultūras nams</t>
  </si>
  <si>
    <t>Tilžas pagasta kultūras nams</t>
  </si>
  <si>
    <t>Vectilžas pagasta sporta un atpūtas centrs</t>
  </si>
  <si>
    <t>Vīksnas pagasta Tautas nams</t>
  </si>
  <si>
    <t>Bērzkalnes kultūra</t>
  </si>
  <si>
    <t>Lazdulejas kultūra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</si>
  <si>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</si>
  <si>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</si>
  <si>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</si>
  <si>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</si>
  <si>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</si>
  <si>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</si>
  <si>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Vidusskolas</t>
  </si>
  <si>
    <t>Interešu un profesionālās ievirzes izglītība</t>
  </si>
  <si>
    <t>Peldbaseins</t>
  </si>
  <si>
    <t>Pārējā izglītības vadība</t>
  </si>
  <si>
    <t>Pārējie citur neklasificētie izglītības pakalpojumi</t>
  </si>
  <si>
    <t>Transporta izdevumi kompensācija skolēniem</t>
  </si>
  <si>
    <t>10.000</t>
  </si>
  <si>
    <t>Sociālā aizsardzība</t>
  </si>
  <si>
    <t>Pārējais citur neklasificēts atbalsts sociāli atstumtām personām</t>
  </si>
  <si>
    <t>Asistenta pakalpojumi personām ar invaliditāti</t>
  </si>
  <si>
    <t>Aizņēmumi</t>
  </si>
  <si>
    <t>Skolēnu nodarbinātība vasarā</t>
  </si>
  <si>
    <t>Ekonomiskā darbība</t>
  </si>
  <si>
    <t>P/A "SAN-TEX"</t>
  </si>
  <si>
    <t>Stacijas pamatskolas Vīksnas filiāle</t>
  </si>
  <si>
    <t>Balvu sporta skolas Peldbaseins</t>
  </si>
  <si>
    <t>Balvu teritoriālā invalīdu biedrība</t>
  </si>
  <si>
    <t>Latvijas Politiski represēto apvienība Balvu nodaļa</t>
  </si>
  <si>
    <t>Latvijas Sarkanais krusts Balvu komiteja</t>
  </si>
  <si>
    <t>Balvu Profesionālā un vispārizglītojošā vidusskola</t>
  </si>
  <si>
    <t xml:space="preserve"> Izglītības, kultūras un sporta pārvalde</t>
  </si>
  <si>
    <t>Atskurbtuves uzturēšana</t>
  </si>
  <si>
    <t>Balvu profesionālā un vispāizglītojošā vidusskola</t>
  </si>
  <si>
    <t>Finansēšanas avots</t>
  </si>
  <si>
    <t>Sporta pasākumi Bērzpilī</t>
  </si>
  <si>
    <t>Algoti pagaidu sabiedriskie darbi</t>
  </si>
  <si>
    <t>Latvijas neredzīgo biedrības Balvu teritoriala organizācija</t>
  </si>
  <si>
    <t xml:space="preserve">Kopā </t>
  </si>
  <si>
    <t>Vispārējie ieņēmumi</t>
  </si>
  <si>
    <t xml:space="preserve">Budžeta iestāžu ieņēmumi </t>
  </si>
  <si>
    <t>Valsts un pašvaldību transferti</t>
  </si>
  <si>
    <t>Pašvaldības budžetu parāda darījumi (Aizņēmumu apkalpošana un procentu maksa)</t>
  </si>
  <si>
    <t>Balvu novada Domes</t>
  </si>
  <si>
    <t>Balvu pensionāru biedrība</t>
  </si>
  <si>
    <t>Latvijas neredzīgo biedrības Balvu teritoriālā organizācija</t>
  </si>
  <si>
    <t>Profesionālā sociālā darba attīstība pašvaldībās</t>
  </si>
  <si>
    <t>Deinstitucionālizācijas pasākumu īstenošana Latgales reģionā</t>
  </si>
  <si>
    <t>Projekts "Pasākumi vietējās sabiedrības veselības veicināšanai Balvu novadā"</t>
  </si>
  <si>
    <t>Latgales speciālās ekonomiskās zonas atbalsts</t>
  </si>
  <si>
    <t>Projekts "Karjeras atbalsts vispārējās un profesionālās izglītības iestādēs"</t>
  </si>
  <si>
    <t>Ziemeļlatgales biznesa  un tūrisma centrs</t>
  </si>
  <si>
    <t>Ziemeļlatgales biznesa un tūrisma centrs</t>
  </si>
  <si>
    <t>Sociālie pakalpojumi</t>
  </si>
  <si>
    <t>Erasmus + projekts Bērzpils vidusskola</t>
  </si>
  <si>
    <t>Balvu pilsētas stadiona uzturēšama</t>
  </si>
  <si>
    <t>Programma "Latvijas skolas soma"</t>
  </si>
  <si>
    <t>Tilžas vidusskolas pirmsskolas izglītības grupas Tilžā</t>
  </si>
  <si>
    <t>Tilžas vidusskolas pirmsskolas izglītības grupa Vectilžā</t>
  </si>
  <si>
    <t>Bērzpils vidusskolas pirmsskolas izglītības grupa Krišjāņos</t>
  </si>
  <si>
    <t>XII Latvijas skolu jaunatnes Dziesmu un Deju svētki</t>
  </si>
  <si>
    <t>Biedrība "Kalmārs"</t>
  </si>
  <si>
    <t>LV-RU pārrobežu sadarbības projekts "Veco parku jaunā dzīve: efektīva vēsturisko dabas objektu apsaimniekošana Latvijas-Krievijas pierobežā""</t>
  </si>
  <si>
    <t>SAM 5.6.2. Uzņēmējdarbības attīstība Austrumu pierobežā</t>
  </si>
  <si>
    <t>SAM 3.3.1 Investīcijas uzņēmējdarbības dažādošanai un konkurētspējas uzlabošanai Balvu novadā</t>
  </si>
  <si>
    <t>Projekts "Pakalpojumu infrastruktūras attīstība deinstitucionālizācijas plānu īstenošanai Balvu novadā"</t>
  </si>
  <si>
    <t>SAM 5.6.2 Industriālās teritorijas attīstība, revitalizējot īpašumus Balvu novadā</t>
  </si>
  <si>
    <t>LV-RU pārrobežu sadarbības projekts "Ne tikai grāmatas - bibliotēkas uzņēmējdarbības atbalstam"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</si>
  <si>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</si>
  <si>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</si>
  <si>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</si>
  <si>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</si>
  <si>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</si>
  <si>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</si>
  <si>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</si>
  <si>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</si>
  <si>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</si>
  <si>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</si>
  <si>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</si>
  <si>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05.000</t>
  </si>
  <si>
    <t>Vides aizsardzība</t>
  </si>
  <si>
    <t>Vides piesārņojuma novēršana un samazināšana (dabas resursu nodoklis)</t>
  </si>
  <si>
    <t>LV-RU pārrobežu projekts "Vides pārvaldības pilveidošana, īstenojot kopējus pasākumus LV-RU pārrobežu reģionos"</t>
  </si>
  <si>
    <t>Bērzpils vidusskolas Krišjāņu pirmsskolas grupa</t>
  </si>
  <si>
    <t>Sociālo pakalpojumu atbalsta sistēmas pilnveide pilngadīgām personām ar garīgā rakstura traucējumiem</t>
  </si>
  <si>
    <t>Balvu Kultūras un atpūtas centrs</t>
  </si>
  <si>
    <t>ELFLA projekts "Bērzkalnes pagasta ceļa "Balvi-Verpuļeva-Elkšņeva-Mūrova" posma parbūve 2.kārta"</t>
  </si>
  <si>
    <t>Norēķini ar citām pašvaldībām par izglītības pakalpojumiem</t>
  </si>
  <si>
    <t>Latgales reģiona tūrisma asociācija "Ezerzeme"</t>
  </si>
  <si>
    <t>Balvu novada vēlēšanu komisija</t>
  </si>
  <si>
    <t>Balvu Novada muzejs</t>
  </si>
  <si>
    <t>Balvu sākumskola</t>
  </si>
  <si>
    <t>ERASMUS+ projekts Balvu profesionālā un vispārizglītojošā vidusskola 2020-1-ES01-KA229- 078654_2</t>
  </si>
  <si>
    <t>Erasmus+ programmas Pamatdarbības Nr.2 (KA 2) skolu apmaiņas partnerību projekta Nr. 2020-1-TR01- KA229-094355_2 (Balvu sākumskola)</t>
  </si>
  <si>
    <t>Erasmus+ programmas Pamatdarbības Nr.2 (KA 2) skolu apmaiņas partnerību projekta Nr.2020-1-TR01- KA229-094355_2(Balvu sākumskola)</t>
  </si>
  <si>
    <t>ERASMUS+ projekts Balvu profesionālā un vispārizglītojošā vidusskola 2020-1-BG01-KA229- 079124_4</t>
  </si>
  <si>
    <t>ERASMUS+ projekts Balvu profesionālā un vispārizglītojošā vidusskola 2020-1-IT02-KA229-079175_3</t>
  </si>
  <si>
    <t>Norēķini par sociālajiem pakalpojumiem ar citām pašvaldībām</t>
  </si>
  <si>
    <t>Daudzfunkcionālais sociālo pakalpojumu centrs</t>
  </si>
  <si>
    <t>Balvu sporta skolas pieaugušo sporta pasākumi</t>
  </si>
  <si>
    <t>LV-LT pārrobežu sadarbības projekts "Amatu prasmes tūrisma telpā"</t>
  </si>
  <si>
    <t>Projekts "Atbalsts priekšlaicīgas mācību pārtraukšanas samazināšanai"</t>
  </si>
  <si>
    <t>ERASMUS+ projekts Balvu profesionālā un vispārizglītojošā vidusskola Nr.2020-1-LV01-KA101-077319</t>
  </si>
  <si>
    <t>Projekta "Jaunatnes ielas seguma atjaunošanas darbu veikšana Balvos"</t>
  </si>
  <si>
    <t>Projekta "Lauku ielas 1.posma pārbūve Balvos"</t>
  </si>
  <si>
    <t>SAM 4.2.2 projekts "Balvu novada pašvaldības administrācijas ēkas energoefektivitātes paaugstināšana"</t>
  </si>
  <si>
    <t>LV-RU pārrobežu sadarbības projekts "Veco parku jaunā dzīve: efektīva vēsturisko dabas objektu apsaimniekošana Latvijas-Krievijas pierobežā"</t>
  </si>
  <si>
    <t>Balvu novada pašvaldības pamatbudžeta izdevumi 2021.gadam (EUR)</t>
  </si>
  <si>
    <t>Balvu novada pašvaldības 2021.gada  pamatbudžeta izdevumi atbilstoši ekonomiskajām kategorijām (EUR)</t>
  </si>
  <si>
    <t>KF projekts "Balvu pilsētas ūdenssaimniecības attīstība III.kārta"</t>
  </si>
  <si>
    <t>Jaunizveidojamās pašvaldības administratīvās struktūras projekta izstrāde</t>
  </si>
  <si>
    <t>Jauniveidojamās novada pašvaldības teritorijas attīstības plānošanas dokumentu projekta izstrāde</t>
  </si>
  <si>
    <t>LV-RU pārrobežu sadarbības projekts "Zaļā tūrisma maršrutu attīstība, kas vieno Latvijas un Krievijas pierobežas reģionus mazo pilsētu un lauku teritoriju kopīgai ilgtspējīgai attīstībai"</t>
  </si>
  <si>
    <t>Apstiprināts 2021.gadam (EUR)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</si>
  <si>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</si>
  <si>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</si>
  <si>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</si>
  <si>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</si>
  <si>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</si>
  <si>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</si>
  <si>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</si>
  <si>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</si>
  <si>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</si>
  <si>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</si>
  <si>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Iekšējā valsts parāda darījumi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</si>
  <si>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</si>
  <si>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</si>
  <si>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</si>
  <si>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</si>
  <si>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</si>
  <si>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</si>
  <si>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</si>
  <si>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Vecumu mežsaimniecība</t>
  </si>
  <si>
    <t xml:space="preserve"> Ielu un ceļu remonti Viļakā</t>
  </si>
  <si>
    <t>Autoceļu fonds (Viļaka)</t>
  </si>
  <si>
    <t>Ceļu un ielu uzturēšana  (Rugāji)</t>
  </si>
  <si>
    <t>Susāju pārvaldes teritorijas apsaimniekošana</t>
  </si>
  <si>
    <t>Medņevas komunālā saimniecība</t>
  </si>
  <si>
    <t>Viļakas pilsētas komunālā saimniecība -  apsaimniekošana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</si>
  <si>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</si>
  <si>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</si>
  <si>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</si>
  <si>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</si>
  <si>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</si>
  <si>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</si>
  <si>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</si>
  <si>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</si>
  <si>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</si>
  <si>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</si>
  <si>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pagasta teritorijas apsaimniekošana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</si>
  <si>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</si>
  <si>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</si>
  <si>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</si>
  <si>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</si>
  <si>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</si>
  <si>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</si>
  <si>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</si>
  <si>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A/m VW Caravelle HF8893</t>
  </si>
  <si>
    <t>A/m VW Caravelle HU2714</t>
  </si>
  <si>
    <t>Žīguru komunālā saimniecība</t>
  </si>
  <si>
    <t>Kupravas pārvaldes pašvaldības dzīvokļu uzturēšana</t>
  </si>
  <si>
    <t>Viļakas pilsētas pašvaldības dzīvokļu uzturēšana</t>
  </si>
  <si>
    <t>Viļakas teritorijas apsaimniekošana -Balvu iela 2C</t>
  </si>
  <si>
    <t>Kupravas komunālā saimniecība</t>
  </si>
  <si>
    <t>Žīguru pārvaldes pašvaldības  dzīvokļu uzturēšana</t>
  </si>
  <si>
    <t>Viļakas pilsētas labiekārtošana</t>
  </si>
  <si>
    <t>Šķilbēnu komunālā saimniecība</t>
  </si>
  <si>
    <t>Vecumu pārvaldes pašvaldības dzīvokļu uzturēšana</t>
  </si>
  <si>
    <t>Vecumu komunālā saimniecība</t>
  </si>
  <si>
    <t>Novada teritorijas darbība un pakalpojumu vadība (Viļaka)</t>
  </si>
  <si>
    <t>Kupravas FVP</t>
  </si>
  <si>
    <t>Upītes FVP</t>
  </si>
  <si>
    <t>Rugāju sociālās aprūpes centrs</t>
  </si>
  <si>
    <t>Viļakas sociālās aprūpes centrs</t>
  </si>
  <si>
    <t>Šķilbēnu sociālās aprūpes māja</t>
  </si>
  <si>
    <t>Rugāju bibliotēka</t>
  </si>
  <si>
    <t>Tikaiņu bibliotēka</t>
  </si>
  <si>
    <t>Lazdukalna bibliotēka</t>
  </si>
  <si>
    <t>Skujetnieku bibliotēka</t>
  </si>
  <si>
    <t>Kultūras nodaļa un Rugāju tautas nams</t>
  </si>
  <si>
    <t>Lazdukalna saieta nams</t>
  </si>
  <si>
    <t xml:space="preserve">Zobārstniecības kabinets  </t>
  </si>
  <si>
    <t>Projekts "Dzīvo vesels"-veselīga dzīvesveida un  profilakses veicināšanas pasākumi Rugāju novada iedzīvotājiem</t>
  </si>
  <si>
    <t>Skujetnieku FVP</t>
  </si>
  <si>
    <t>Projekts "Veselības veicināšanas un slimību profilakses pasākumi Viļakas novadā"</t>
  </si>
  <si>
    <t>Vecumu pārvaldes sporta aktivitātes</t>
  </si>
  <si>
    <t>Viļakas pilsētas sporta aktivitātes</t>
  </si>
  <si>
    <t>Šķilbēnu pātvaldes sporta aktivitātes</t>
  </si>
  <si>
    <t>Žīguru bibliotēka</t>
  </si>
  <si>
    <t>Vecumu bibliotēka</t>
  </si>
  <si>
    <t>Nemateriālās kultūras mantojuma centrs "Upīte" - bibliotēka</t>
  </si>
  <si>
    <t>Rekavas bibliotēka</t>
  </si>
  <si>
    <t>Medņevas bibliotēka</t>
  </si>
  <si>
    <t xml:space="preserve"> Kupravas bibliotēka</t>
  </si>
  <si>
    <t>Viļakas novada bibliotēka</t>
  </si>
  <si>
    <t>Nemateriālās kultūras mantojuma centrs "Upīte" - muzejs</t>
  </si>
  <si>
    <t>Kultūrvēsturiskā lauku sēta "Vēršukalns"</t>
  </si>
  <si>
    <t>Viļakas muzejs</t>
  </si>
  <si>
    <t xml:space="preserve">Rugāju muzejs  </t>
  </si>
  <si>
    <t>Vēlēšanu komisija</t>
  </si>
  <si>
    <t>Rugāju  pagasta pārvalde</t>
  </si>
  <si>
    <t>Lazdukalna pagasta pārvalde</t>
  </si>
  <si>
    <t>Rugāju pagasta pārvalde</t>
  </si>
  <si>
    <t>Autoceļu uzturēšana(Baltinava)</t>
  </si>
  <si>
    <t>Algotie pagaidu sabiedriskie darbi</t>
  </si>
  <si>
    <t>Uzņēmējdarbības un tūrisma atbalsta centrs</t>
  </si>
  <si>
    <t>Nodarbinātības pasākumi vasaras brīvlaikā (Viļaka)</t>
  </si>
  <si>
    <t>Projekts "Greenways Riga-Pskov""LV-RU 006</t>
  </si>
  <si>
    <t>Mežvidu pamatskolas ēka</t>
  </si>
  <si>
    <t>Balkanu Dabas parks</t>
  </si>
  <si>
    <t>"GreenPalette" LV-RU-II-053 projekts</t>
  </si>
  <si>
    <t>Viļakas pilsētas teritorija Pils iela 9</t>
  </si>
  <si>
    <t>Latgales programmas projekti</t>
  </si>
  <si>
    <t>Atbalsts mazo un vidējo uzņēmumu attīstības veicināšanai ( Baltinava)</t>
  </si>
  <si>
    <t>Atbalsts uzņēmējiem (Viļaka)</t>
  </si>
  <si>
    <t xml:space="preserve">Atbalsts lauksaimniecības nozaru pasākumiem </t>
  </si>
  <si>
    <t>Biznesa ideju konkurss (Balvi)</t>
  </si>
  <si>
    <t>Biznesa ideju konkurss (Rugāji)</t>
  </si>
  <si>
    <t>Pārējie ar ekonomisku darbību saistītie pasākumi</t>
  </si>
  <si>
    <t>Skolēnu nodarbinātības pasākumi (Rugāji)</t>
  </si>
  <si>
    <t>Atkritumu apsaimniekošana (Baltinava)</t>
  </si>
  <si>
    <t>Notekūdeņu apsaimniekošana (Baltinava)</t>
  </si>
  <si>
    <t>Dabas resursu nodoklis (Baltinava)</t>
  </si>
  <si>
    <t>Parka apsaimniekošana (Baltinava)</t>
  </si>
  <si>
    <t>Notekūdeņu apsaimniekošana (Rugāju pagastā)</t>
  </si>
  <si>
    <t>Notekūdeņu apsaimniekošana (Lazdukalna pagastā)</t>
  </si>
  <si>
    <t>Dabas resursu nodoklis (Rugāji)</t>
  </si>
  <si>
    <t>Viļakas pilsētas komunālā saimniecība - atkritumu apsaimniekošana</t>
  </si>
  <si>
    <t>Viļakas pilsētas komunālā saimniecība-kanalizācija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</si>
  <si>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</si>
  <si>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</si>
  <si>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</si>
  <si>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</si>
  <si>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</si>
  <si>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</si>
  <si>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>Dabas resursu nodoklis (Viļaka)</t>
  </si>
  <si>
    <t>A/m Toyota Proace LK537</t>
  </si>
  <si>
    <t>Ūdensapgāde</t>
  </si>
  <si>
    <t>Attīstības un plānošanas nodaļa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</si>
  <si>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</si>
  <si>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</si>
  <si>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</si>
  <si>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</si>
  <si>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</si>
  <si>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 xml:space="preserve">Lazdukalna pagasta apgaismošana un ietvju uzturēšana </t>
  </si>
  <si>
    <t xml:space="preserve">Rugāju pagasta apgaismošana un ietvju uzturēšana </t>
  </si>
  <si>
    <t>Skujetnieku feldšeru veselības punkts</t>
  </si>
  <si>
    <t>Zobārstniecības kabinets (Rugāji)</t>
  </si>
  <si>
    <t>Projekts "Dzīvo aktīvs Baltinavā"</t>
  </si>
  <si>
    <t>Kapsētu apsaimniekošana</t>
  </si>
  <si>
    <t>Pirts</t>
  </si>
  <si>
    <t>Pirts (Baltinava)</t>
  </si>
  <si>
    <t>Ūdensapgāde (Baltinava)</t>
  </si>
  <si>
    <t>Kapsētu apsaimniekošana (Baltinava)</t>
  </si>
  <si>
    <t>Kupravas feldšeru punkts</t>
  </si>
  <si>
    <t>Upītes feldšeru-vecmāšu punkts</t>
  </si>
  <si>
    <t xml:space="preserve">Zivju aizsardzības fonda projekti </t>
  </si>
  <si>
    <t>Baltinavas sporta pasākumi</t>
  </si>
  <si>
    <t>Baltinavas bibliotēka</t>
  </si>
  <si>
    <t>Baltinavas muzejs</t>
  </si>
  <si>
    <t>Tautas mākslas kolektīvu vadītāju mērķdotācija</t>
  </si>
  <si>
    <t>Tautas mākslas kolektīvu vadītāju mērķdotācija (Viļaka)</t>
  </si>
  <si>
    <t>Baltinavas kultūras nams</t>
  </si>
  <si>
    <t>Projekts "Latvijas skolas soma"</t>
  </si>
  <si>
    <t>Darbs ar jauniešiem</t>
  </si>
  <si>
    <t>Pārējie pasākumi (līdzfinansējums projektiem, biedrībām) (Rugāji)</t>
  </si>
  <si>
    <t>Atbalsts reliģisko organizāciju darbībai (Baltinava)</t>
  </si>
  <si>
    <t>Šķilbēnu iniciatīvu centrs "Zvaniņi"</t>
  </si>
  <si>
    <t>Medņevas jaunatnes iniciatīvu centrs "Sauleszieds"</t>
  </si>
  <si>
    <t>Viļakas jauniešu iniciatīvu centrs</t>
  </si>
  <si>
    <t>Susāju kultūras pasākumi</t>
  </si>
  <si>
    <t xml:space="preserve"> Borisovas kultūras pasākumi</t>
  </si>
  <si>
    <t>Žīguru kultūras nams</t>
  </si>
  <si>
    <t>Viļakas kultūras nams</t>
  </si>
  <si>
    <t>Nemateriālās kultūras mantojuma centrs "Upīte" - tautas nams</t>
  </si>
  <si>
    <t>Medņevas Tautas nams</t>
  </si>
  <si>
    <t>Kupravas kultūras pasākumi</t>
  </si>
  <si>
    <t>Šķilbēnu pagasta kultūras centrs "Rekova"</t>
  </si>
  <si>
    <t xml:space="preserve"> Dotācijas pārejām organizācijām, biedrībām (Viļaka)</t>
  </si>
  <si>
    <t>Atbalsts reliģisko organizāciju darbībai (Balvi)</t>
  </si>
  <si>
    <t>Tautas mākslas kolektīvu vadītāju mērķdotācija (Baltinava)</t>
  </si>
  <si>
    <t>Reliģisko organizāciju un citu biedrību un nodibinājumu pakalpojumi (Balvi)</t>
  </si>
  <si>
    <t>Izglītības, kultūras un sporta pārvalde-metodiskais darbs</t>
  </si>
  <si>
    <t>Izglītības, kultūras un sporta pārvalde-interešu izglītība</t>
  </si>
  <si>
    <t>Izglītības, kultūras un sporta pārvalde-kultūra</t>
  </si>
  <si>
    <t xml:space="preserve"> Izglītības, kultūras un sporta pārvalde-izglītība</t>
  </si>
  <si>
    <t>A/m FORD Transit LM8756</t>
  </si>
  <si>
    <t>Skolēnu pārvadāšana Šķilbēnu pārvalde</t>
  </si>
  <si>
    <t>Skolēnu pārvadāšana Susāju pārvalde</t>
  </si>
  <si>
    <t>VW TRANSPORTER EC405</t>
  </si>
  <si>
    <t>Skolēnu pārvadāšana Viļaka</t>
  </si>
  <si>
    <t>Datorspeciālists</t>
  </si>
  <si>
    <t>Ceļa izdevumi skolēniem</t>
  </si>
  <si>
    <t>Viļakas MMS - Kultūras ministrijas mēķdotācija</t>
  </si>
  <si>
    <t>Viļakas mūzikas un mākslas skola</t>
  </si>
  <si>
    <t>Viļakas bērnu un jaunatnes sporta skola - mērķdotācija</t>
  </si>
  <si>
    <t>Viļakas bērnu un jaunatnes sporta skola</t>
  </si>
  <si>
    <t xml:space="preserve"> Viļakas Valsts ģimnāzija</t>
  </si>
  <si>
    <t>Žīguru pamatskola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</si>
  <si>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</si>
  <si>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</si>
  <si>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</si>
  <si>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</si>
  <si>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</si>
  <si>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</si>
  <si>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Rugāju Sporta centrs</t>
  </si>
  <si>
    <t xml:space="preserve">Rugāju jauniešu iniciatīvu - interešu centrs </t>
  </si>
  <si>
    <t>Skolēnu pārvadājumu nodrošināšana</t>
  </si>
  <si>
    <t>Izglītības pārvalde</t>
  </si>
  <si>
    <t xml:space="preserve">Projekts "Atbalsts priekšlaicīgas mācību pārtraukšanas samazināšanai" </t>
  </si>
  <si>
    <t xml:space="preserve">Projekts  "ERASMUS" School gardens </t>
  </si>
  <si>
    <t>Projekts "ERASMUS" Math un Techology</t>
  </si>
  <si>
    <t>Skolēnu pārvadājumi</t>
  </si>
  <si>
    <t>Projekts Nr.  2019-1-MDM-M02020-P instrumenta iegāde</t>
  </si>
  <si>
    <t>Baltinavas mūzikas un mākslas skola</t>
  </si>
  <si>
    <t>Vides projekti</t>
  </si>
  <si>
    <t>Baltinavas vidusskolas ēdināšanas bloks</t>
  </si>
  <si>
    <t>Baltinavas vidusskola</t>
  </si>
  <si>
    <t>Baltinavas vidusskolas PII grupa</t>
  </si>
  <si>
    <t>Viļakas Valsts ģimnāzija</t>
  </si>
  <si>
    <t>Ceļa izdevumi skolēniem (Viļaka)</t>
  </si>
  <si>
    <t>Valsts Kultūrkapitāla fonda projekti (Balvu novada muzejs)</t>
  </si>
  <si>
    <t>Valsts Kultūrkapitāla fonda projekti (Balvu Centrālā bibliotēka)</t>
  </si>
  <si>
    <t>Valsts Kultūrkapitāla fonda projekti (Balvu mūzikas skola)</t>
  </si>
  <si>
    <t>Atbalsts priekšlaicīgas mācību pārtraukšanas samazināšanai (Balvi)</t>
  </si>
  <si>
    <t>Projekts "Atbalsts priekšlaicīgas mācību pārtraukšanas samazināšanai" (Balvi)</t>
  </si>
  <si>
    <t>Projekts "Atbalsts priekšlaicīgas mācību pārtraukšanas samazināšanai" (Viļaka)</t>
  </si>
  <si>
    <t>Projekts "Karjeras atbalsts vispārējās un profesionālās izglītības iestādēs" (Viļaka)</t>
  </si>
  <si>
    <t>Projekts "Atbalsts izglītojamo individuālo kompetenču attīstībai" (Viļaka)</t>
  </si>
  <si>
    <t>Projekts "Karjeras atbalsts vispārējās un profesionālās izglītības iestādēs" (Balvi)</t>
  </si>
  <si>
    <t>PROTI UN DARI! (Balvi)</t>
  </si>
  <si>
    <t>Atbalsts izglītojāmo individuālo kompetenču attīstībai (Balvi)</t>
  </si>
  <si>
    <t>Projekts "Atbalsts izglītojāmo individuālo kompetenču attīstībai" (Balvi)</t>
  </si>
  <si>
    <t xml:space="preserve"> Vadība izglītības funkciju nodrošināšanai (Baltinava)</t>
  </si>
  <si>
    <t>Transporta izdevumu kompensācija skolēniem (Baltinava)</t>
  </si>
  <si>
    <t>Skolēnu pārvadājumi (Baltinava)</t>
  </si>
  <si>
    <t>Projekts "Atbalsts priekšlaicīgas mācību pārtraukšanas samazināšanai" (Rugāji)</t>
  </si>
  <si>
    <t>Projekts "Atbalsts priekšlaicīgas mācību pārtraukšanas samazināšanai" (Baltinava)</t>
  </si>
  <si>
    <t>Projekts "Atbalsts izglītojamo individuālo kompetenču attīstībai" (Baltinava)</t>
  </si>
  <si>
    <t>Projekts “RoboNet" (Rugāji)</t>
  </si>
  <si>
    <t>LV-LT pārrobežu sadarbības projekts "RoboNet"</t>
  </si>
  <si>
    <t>Projekts "Atbalsts izglītojamo individuālo kompetenču attīstībai" (Rugaji)</t>
  </si>
  <si>
    <t>Projekts "Karjeras atbalsts vispārējās un profesionālās izglītības iestādēs" (Rugāji)</t>
  </si>
  <si>
    <t>Pārējie izglītības pasākumi (Apbalvošana, baseina apmeklējums) (Rugāji)</t>
  </si>
  <si>
    <t>Izglītības pārvalde (Rugāji)</t>
  </si>
  <si>
    <t>Skolēnu pārvadājumu nodrošināšana (Rugāji)</t>
  </si>
  <si>
    <t>Transporta izdevumu kompensācija skolēniem (Rugāji)</t>
  </si>
  <si>
    <t>Eglaines pamatkola</t>
  </si>
  <si>
    <t>Viļakas NMP</t>
  </si>
  <si>
    <t>Sociālais dienests (Balvi)</t>
  </si>
  <si>
    <t>Sociālās palīdzības dienests (Viļaka)</t>
  </si>
  <si>
    <t>Socialās palīdzības dienests ( Viļaka)</t>
  </si>
  <si>
    <t xml:space="preserve">Projekts "Projekts pakalpojumu infrastruktūras attīstība deinstitucionalizācijas plāna īstenošanai  Rugāju novadā.(SAM 9.3.1.1.ERAF-Ēkas pārbūve par dienas aprūpes centru) </t>
  </si>
  <si>
    <t xml:space="preserve">Dienas aprūpes centrs </t>
  </si>
  <si>
    <t>Sociālais dienests  (Rugāji)</t>
  </si>
  <si>
    <t>Aprūpe mājās (Rugāji)</t>
  </si>
  <si>
    <t>Veļas mazgāšanas pakalpojumi (Rugāji)</t>
  </si>
  <si>
    <t>Dotācijas biedrībām (Rugāji)</t>
  </si>
  <si>
    <t>Sociālais dienests (Baltinava)</t>
  </si>
  <si>
    <t>DI projekts Nr.9.2.2.1./15/I/005 (Viļaka)</t>
  </si>
  <si>
    <t>Baltinavas ciema ielu remonts</t>
  </si>
  <si>
    <t>Autoceļa Kaši-Surikova-Buksti remonts</t>
  </si>
  <si>
    <t>Covid eksprestestu iegāde</t>
  </si>
  <si>
    <t>Darba drošības un aizsardzības pasākumi (Baltinava)</t>
  </si>
  <si>
    <t>Baltinavas saimnieciskā nodaļa</t>
  </si>
  <si>
    <t>Vecumu mežsaimniecība (Viļaka)</t>
  </si>
  <si>
    <t>Atbalsts lauksaimniecībai (Viļaka)</t>
  </si>
  <si>
    <t>Pārējie ar ekonomisku darbību saistītie pasākumi (Rugāji)</t>
  </si>
  <si>
    <t>LV-RU pārrobežu sadarbības projekts "No hobija uz biznesu" (Baltinava)</t>
  </si>
  <si>
    <t>LV-RU pārrobežu sadarbības projekts "No hobija uz biznesu" (Rugāji)</t>
  </si>
  <si>
    <t>Projekts "Uzņēmējdarbības attīstība Austrumu pierobežā"(laukuma izbūve un ceļa Benislava-Blāzma pārbūve)</t>
  </si>
  <si>
    <t>Tūrisms (Baltinava)</t>
  </si>
  <si>
    <t>Vides projekti (Baltinava)</t>
  </si>
  <si>
    <t>Baltinavas kultūras pasākumi</t>
  </si>
  <si>
    <t>Sociālie pabalsti (Balvi)</t>
  </si>
  <si>
    <t>Sociālie pabalsti (Viļaka)</t>
  </si>
  <si>
    <t>Sociālie pabalsti (Rugāji)</t>
  </si>
  <si>
    <t>Sociālie pabalsti ( Baltinava)</t>
  </si>
  <si>
    <t>Pašvaldības dzīvojamā māja Viļakā Pļavu ielā 2</t>
  </si>
  <si>
    <t>Pašvaldības dzīvojamā māja Viļakā Skolas ielā 3</t>
  </si>
  <si>
    <t>Specializētā a/m Volvo V70 reģ. Nr.KF9076</t>
  </si>
  <si>
    <t>Projekts "Sabiedrībā balstītu sociālo pakalpojumu infrastruktūras izveide un attīstība Viļakas novadā"</t>
  </si>
  <si>
    <t>Nodarbinātības pasākumi vasaras brīvlaikā (Baltinava)</t>
  </si>
  <si>
    <t xml:space="preserve">Domes priekšsēdētājs                                                                                              S.Maksimovs                                               </t>
  </si>
  <si>
    <t>Bērzpils pamatskola</t>
  </si>
  <si>
    <t>Pieminekļa Latgales partizānu pulka karavīriem Balvos atjaunošana</t>
  </si>
  <si>
    <t>Stāvlaukuma atjaunošana pie Balvu Kultūras un atpūtas centra</t>
  </si>
  <si>
    <t>Vidzemes un Tautas ielu posmu atjaunošana Balvos</t>
  </si>
  <si>
    <t>Notekūdeņu infrastruktūras sakārtošana Balvu ezeram pieguļošajā aglomerācijā</t>
  </si>
  <si>
    <t>Domes priekšsēdētājs                                                                                               S.Maksimovs</t>
  </si>
  <si>
    <t>"Grozījumi 2021.gada 29.jūlija saistošajos noteikumos Nr.3/2021</t>
  </si>
  <si>
    <t>"Par Balvu novada pašvaldības budžetu 2021.gadam""</t>
  </si>
  <si>
    <t>2021.gada 29.jūlija saistošajiem noteikumiem Nr.3/2021</t>
  </si>
  <si>
    <t>"Par Balvu novada pašvaldības 2021.gada budžetu"</t>
  </si>
  <si>
    <t>3.pielikums</t>
  </si>
  <si>
    <t>4.pielikums</t>
  </si>
  <si>
    <t>SAM 4.2.2 projekts "Balvu Mūzikas skolas ēkas energoefektivitātes paaugstināšana"</t>
  </si>
  <si>
    <t>JSPA projekts "Labbūtības ceļakartes aktivitāšu īstenošana Balvu novada pašvaldības izglītības iestādēs"</t>
  </si>
  <si>
    <t>Borisovas kultūras pasākumi</t>
  </si>
  <si>
    <t>VKKF "Izzinošas mobilās lietotnes BALTINAVA ZOOM izstrāde Baltinavas novada kultūrvēsturiskā mantojuma aktīvai iepazīšanai"</t>
  </si>
  <si>
    <t>Rugāju vidusskola</t>
  </si>
  <si>
    <t>Muižas apbūves kompleksa pārbūve 1.kārta</t>
  </si>
  <si>
    <t>Bērzu ielas posma projekta pārbūve un autostāvvietas seguma atjaunošana Skolas ielā Balvu pilsētā</t>
  </si>
  <si>
    <t>Degradēto teritoriju revitalizācija Austrumu pierobežā</t>
  </si>
  <si>
    <t>IZM finansējums vasaras nometnēm</t>
  </si>
  <si>
    <t>Projekts "#Labsvaibs"</t>
  </si>
  <si>
    <t>2021.gada 29.decembra saistošajiem noteikumiem Nr. __/2021</t>
  </si>
  <si>
    <t>IZM finansējums skolu interneta pilnveidei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</si>
</sst>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44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1" fontId="0" fillId="0" borderId="0" xfId="0" applyNumberFormat="1"/>
    <xf numFmtId="0" fontId="0" fillId="0" borderId="0" xfId="0" applyBorder="1"/>
    <xf numFmtId="1" fontId="0" fillId="0" borderId="0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Fill="1"/>
    <xf numFmtId="1" fontId="0" fillId="0" borderId="0" xfId="0" applyNumberFormat="1" applyFill="1"/>
    <xf numFmtId="0" fontId="4" fillId="0" borderId="0" xfId="0" applyFont="1" applyFill="1" applyAlignment="1">
      <alignment horizontal="right"/>
    </xf>
    <xf numFmtId="0" fontId="0" fillId="0" borderId="0" xfId="0" applyFill="1" applyBorder="1"/>
    <xf numFmtId="0" fontId="4" fillId="0" borderId="0" xfId="0" applyFont="1" applyFill="1" applyAlignment="1">
      <alignment horizontal="right"/>
    </xf>
    <xf numFmtId="0" fontId="0" fillId="0" borderId="0" xfId="0" applyFont="1" applyFill="1" applyBorder="1"/>
    <xf numFmtId="0" fontId="6" fillId="0" borderId="0" xfId="0" applyFont="1" applyFill="1" applyAlignment="1"/>
    <xf numFmtId="0" fontId="6" fillId="0" borderId="0" xfId="0" applyFont="1" applyBorder="1"/>
    <xf numFmtId="0" fontId="6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1" fontId="10" fillId="0" borderId="1" xfId="0" applyNumberFormat="1" applyFont="1" applyFill="1" applyBorder="1"/>
    <xf numFmtId="1" fontId="10" fillId="0" borderId="1" xfId="0" applyNumberFormat="1" applyFont="1" applyFill="1" applyBorder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6" fillId="0" borderId="0" xfId="0" applyNumberFormat="1" applyFont="1" applyFill="1"/>
    <xf numFmtId="0" fontId="10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/>
    </xf>
    <xf numFmtId="1" fontId="9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/>
    </xf>
    <xf numFmtId="43" fontId="10" fillId="0" borderId="1" xfId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vertical="top"/>
    </xf>
    <xf numFmtId="0" fontId="6" fillId="0" borderId="0" xfId="0" applyFont="1" applyFill="1" applyAlignment="1">
      <alignment horizontal="right"/>
    </xf>
    <xf numFmtId="0" fontId="13" fillId="0" borderId="0" xfId="0" applyFont="1" applyBorder="1" applyAlignment="1"/>
    <xf numFmtId="0" fontId="2" fillId="0" borderId="0" xfId="0" applyFont="1" applyFill="1" applyBorder="1" applyAlignment="1">
      <alignment vertical="top"/>
    </xf>
    <xf numFmtId="1" fontId="2" fillId="0" borderId="0" xfId="0" applyNumberFormat="1" applyFont="1" applyFill="1" applyBorder="1" applyAlignment="1">
      <alignment vertical="top"/>
    </xf>
    <xf numFmtId="0" fontId="0" fillId="0" borderId="0" xfId="0" applyFill="1" applyAlignment="1">
      <alignment horizontal="right"/>
    </xf>
    <xf numFmtId="0" fontId="7" fillId="0" borderId="0" xfId="0" applyFont="1" applyFill="1" applyAlignment="1">
      <alignment horizontal="right"/>
    </xf>
    <xf numFmtId="0" fontId="16" fillId="0" borderId="0" xfId="0" applyFont="1" applyFill="1"/>
    <xf numFmtId="0" fontId="13" fillId="0" borderId="0" xfId="0" applyFont="1" applyFill="1" applyAlignment="1"/>
    <xf numFmtId="1" fontId="3" fillId="0" borderId="0" xfId="0" applyNumberFormat="1" applyFont="1" applyFill="1" applyBorder="1" applyAlignment="1">
      <alignment vertical="top"/>
    </xf>
    <xf numFmtId="1" fontId="12" fillId="0" borderId="1" xfId="0" applyNumberFormat="1" applyFont="1" applyFill="1" applyBorder="1" applyAlignment="1">
      <alignment vertical="top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vertical="top"/>
    </xf>
    <xf numFmtId="1" fontId="12" fillId="0" borderId="1" xfId="0" applyNumberFormat="1" applyFont="1" applyFill="1" applyBorder="1"/>
    <xf numFmtId="1" fontId="4" fillId="0" borderId="1" xfId="0" applyNumberFormat="1" applyFont="1" applyFill="1" applyBorder="1"/>
    <xf numFmtId="1" fontId="12" fillId="0" borderId="1" xfId="0" applyNumberFormat="1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vertical="top" wrapText="1"/>
    </xf>
    <xf numFmtId="1" fontId="10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0" xfId="0" applyFont="1" applyFill="1"/>
    <xf numFmtId="0" fontId="4" fillId="0" borderId="0" xfId="0" applyFont="1" applyFill="1" applyBorder="1"/>
    <xf numFmtId="0" fontId="17" fillId="0" borderId="2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right" vertical="center" wrapText="1"/>
    </xf>
    <xf numFmtId="1" fontId="12" fillId="0" borderId="4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0" fillId="0" borderId="1" xfId="0" applyBorder="1"/>
    <xf numFmtId="1" fontId="12" fillId="0" borderId="0" xfId="0" applyNumberFormat="1" applyFont="1" applyFill="1" applyBorder="1" applyAlignment="1">
      <alignment vertical="top"/>
    </xf>
    <xf numFmtId="1" fontId="4" fillId="0" borderId="0" xfId="0" applyNumberFormat="1" applyFont="1" applyFill="1" applyBorder="1" applyAlignment="1">
      <alignment vertical="top"/>
    </xf>
    <xf numFmtId="0" fontId="4" fillId="0" borderId="5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0" xfId="0" applyFont="1"/>
    <xf numFmtId="1" fontId="12" fillId="0" borderId="6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vertical="top"/>
    </xf>
    <xf numFmtId="3" fontId="4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" fontId="2" fillId="0" borderId="1" xfId="0" applyNumberFormat="1" applyFont="1" applyFill="1" applyBorder="1" applyAlignment="1">
      <alignment vertical="top"/>
    </xf>
    <xf numFmtId="1" fontId="12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 vertical="center"/>
    </xf>
    <xf numFmtId="1" fontId="12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6" fillId="0" borderId="0" xfId="0" applyFont="1" applyFill="1" applyAlignment="1">
      <alignment horizontal="right"/>
    </xf>
    <xf numFmtId="0" fontId="9" fillId="0" borderId="1" xfId="0" applyFont="1" applyBorder="1" applyAlignment="1">
      <alignment vertical="top"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NumberFormat="1" applyFont="1" applyFill="1" applyBorder="1" applyAlignment="1" applyProtection="1">
      <alignment wrapText="1"/>
    </xf>
    <xf numFmtId="0" fontId="10" fillId="0" borderId="1" xfId="0" applyFont="1" applyFill="1" applyBorder="1" applyAlignment="1">
      <alignment wrapText="1"/>
    </xf>
    <xf numFmtId="0" fontId="9" fillId="0" borderId="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/>
    <xf numFmtId="0" fontId="9" fillId="0" borderId="1" xfId="2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 applyProtection="1">
      <alignment wrapText="1"/>
    </xf>
    <xf numFmtId="0" fontId="19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0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/>
    </xf>
    <xf numFmtId="0" fontId="1" fillId="0" borderId="8" xfId="0" applyFont="1" applyFill="1" applyBorder="1" applyAlignment="1">
      <alignment vertical="center" wrapText="1"/>
    </xf>
    <xf numFmtId="0" fontId="1" fillId="0" borderId="1" xfId="2" applyFont="1" applyBorder="1" applyAlignment="1">
      <alignment vertical="center" wrapText="1"/>
    </xf>
    <xf numFmtId="0" fontId="19" fillId="0" borderId="1" xfId="0" applyFont="1" applyBorder="1" applyAlignment="1">
      <alignment vertical="top" wrapText="1"/>
    </xf>
    <xf numFmtId="0" fontId="19" fillId="0" borderId="0" xfId="0" applyFont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7A68-641F-4EEF-9557-6EB8877A8FDF}">
  <dimension ref="A1:J440"/>
  <sheetViews>
    <sheetView topLeftCell="A67" zoomScale="89" zoomScaleNormal="89" workbookViewId="0">
      <selection activeCell="C19" sqref="C19"/>
    </sheetView>
  </sheetViews>
  <sheetFormatPr defaultRowHeight="15" x14ac:dyDescent="0.25"/>
  <cols>
    <col min="1" max="1" width="15.42578125" customWidth="1"/>
    <col min="2" max="2" width="34.7109375" customWidth="1"/>
    <col min="3" max="3" width="17.42578125" customWidth="1"/>
    <col min="4" max="4" width="15.7109375" customWidth="1"/>
    <col min="5" max="5" width="17.42578125" customWidth="1"/>
    <col min="6" max="6" width="16.85546875" style="11" customWidth="1"/>
    <col min="7" max="7" width="17.7109375" customWidth="1"/>
    <col min="8" max="8" width="11.28515625" customWidth="1"/>
    <col min="9" max="9" width="12.7109375" customWidth="1"/>
  </cols>
  <sheetData>
    <row r="1" spans="1:10" s="11" customFormat="1" ht="15.75" x14ac:dyDescent="0.25">
      <c r="G1" s="106" t="s">
        <v>502</v>
      </c>
    </row>
    <row r="2" spans="1:10" s="11" customFormat="1" ht="15.75" x14ac:dyDescent="0.25">
      <c r="G2" s="106" t="s">
        <v>151</v>
      </c>
    </row>
    <row r="3" spans="1:10" s="11" customFormat="1" ht="15.75" x14ac:dyDescent="0.25">
      <c r="G3" s="106" t="s">
        <v>514</v>
      </c>
    </row>
    <row r="4" spans="1:10" s="11" customFormat="1" ht="15.75" x14ac:dyDescent="0.25">
      <c r="G4" s="106" t="s">
        <v>498</v>
      </c>
    </row>
    <row r="5" spans="1:10" s="11" customFormat="1" ht="15.75" x14ac:dyDescent="0.25">
      <c r="G5" s="106" t="s">
        <v>499</v>
      </c>
    </row>
    <row r="6" spans="1:10" s="11" customFormat="1" x14ac:dyDescent="0.25"/>
    <row r="7" spans="1:10" s="11" customFormat="1" ht="15.75" x14ac:dyDescent="0.25">
      <c r="A7" s="18"/>
      <c r="B7" s="18"/>
      <c r="C7" s="27"/>
      <c r="D7" s="27"/>
      <c r="E7" s="18"/>
      <c r="F7" s="27"/>
      <c r="H7" s="27"/>
      <c r="I7" s="27"/>
      <c r="J7" s="27"/>
    </row>
    <row r="8" spans="1:10" s="11" customFormat="1" ht="15.75" customHeight="1" x14ac:dyDescent="0.25">
      <c r="A8" s="18"/>
      <c r="B8" s="18"/>
      <c r="C8" s="26"/>
      <c r="D8" s="26"/>
      <c r="E8" s="18"/>
      <c r="F8" s="26"/>
      <c r="G8" s="107" t="s">
        <v>502</v>
      </c>
      <c r="H8" s="26"/>
      <c r="I8" s="26"/>
      <c r="J8" s="26"/>
    </row>
    <row r="9" spans="1:10" s="11" customFormat="1" ht="15.75" customHeight="1" x14ac:dyDescent="0.25">
      <c r="A9" s="18"/>
      <c r="B9" s="18"/>
      <c r="C9" s="26"/>
      <c r="D9" s="26"/>
      <c r="E9" s="18"/>
      <c r="F9" s="26"/>
      <c r="G9" s="106" t="s">
        <v>151</v>
      </c>
      <c r="H9" s="26"/>
      <c r="I9" s="26"/>
      <c r="J9" s="26"/>
    </row>
    <row r="10" spans="1:10" s="11" customFormat="1" ht="15.75" customHeight="1" x14ac:dyDescent="0.25">
      <c r="A10" s="18"/>
      <c r="B10" s="18"/>
      <c r="C10" s="24"/>
      <c r="D10" s="24"/>
      <c r="E10" s="24"/>
      <c r="F10" s="24"/>
      <c r="G10" s="104" t="s">
        <v>500</v>
      </c>
      <c r="H10" s="24"/>
      <c r="I10" s="24"/>
      <c r="J10" s="24"/>
    </row>
    <row r="11" spans="1:10" s="11" customFormat="1" ht="15.75" customHeight="1" x14ac:dyDescent="0.25">
      <c r="A11" s="18"/>
      <c r="B11" s="18"/>
      <c r="C11" s="24"/>
      <c r="D11" s="24"/>
      <c r="E11" s="24"/>
      <c r="F11" s="24"/>
      <c r="G11" s="104" t="s">
        <v>501</v>
      </c>
    </row>
    <row r="12" spans="1:10" s="11" customFormat="1" ht="15.75" customHeight="1" x14ac:dyDescent="0.25">
      <c r="A12" s="18"/>
      <c r="B12" s="7"/>
      <c r="C12" s="7"/>
      <c r="D12" s="7"/>
      <c r="E12" s="7"/>
      <c r="F12" s="7"/>
      <c r="G12" s="18"/>
    </row>
    <row r="13" spans="1:10" s="11" customFormat="1" ht="18.75" x14ac:dyDescent="0.3">
      <c r="A13" s="18"/>
      <c r="B13" s="6" t="s">
        <v>215</v>
      </c>
      <c r="C13" s="6"/>
      <c r="D13" s="6"/>
      <c r="E13" s="6"/>
      <c r="F13" s="6"/>
      <c r="G13" s="18"/>
    </row>
    <row r="14" spans="1:10" s="11" customFormat="1" ht="15.75" x14ac:dyDescent="0.25">
      <c r="A14" s="18"/>
      <c r="B14" s="28"/>
      <c r="C14" s="35"/>
      <c r="D14" s="35"/>
      <c r="E14" s="35"/>
      <c r="F14" s="35"/>
      <c r="G14" s="36"/>
    </row>
    <row r="15" spans="1:10" s="11" customFormat="1" ht="15.75" x14ac:dyDescent="0.25">
      <c r="A15" s="8" t="s">
        <v>76</v>
      </c>
      <c r="B15" s="8" t="s">
        <v>77</v>
      </c>
      <c r="C15" s="9" t="s">
        <v>142</v>
      </c>
      <c r="D15" s="9"/>
      <c r="E15" s="9"/>
      <c r="F15" s="9"/>
      <c r="G15" s="10" t="s">
        <v>146</v>
      </c>
    </row>
    <row r="16" spans="1:10" ht="47.25" x14ac:dyDescent="0.25">
      <c r="A16" s="8"/>
      <c r="B16" s="8"/>
      <c r="C16" s="29" t="s">
        <v>147</v>
      </c>
      <c r="D16" s="29" t="s">
        <v>148</v>
      </c>
      <c r="E16" s="29" t="s">
        <v>149</v>
      </c>
      <c r="F16" s="29" t="s">
        <v>129</v>
      </c>
      <c r="G16" s="10"/>
      <c r="I16" s="13"/>
    </row>
    <row r="17" spans="1:9" ht="15.75" x14ac:dyDescent="0.25">
      <c r="A17" s="37"/>
      <c r="B17" s="37"/>
      <c r="C17" s="62">
        <f>C18+C50+C55+C136+C201+C217+C296+C391+C113</f>
        <v>18853451</v>
      </c>
      <c r="D17" s="62">
        <f>D18+D50+D55+D136+D201+D217+D296+D391+D113</f>
        <v>3205339</v>
      </c>
      <c r="E17" s="62">
        <f>E18+E50+E55+E136+E201+E217+E296+E391+E113</f>
        <v>11296544</v>
      </c>
      <c r="F17" s="62">
        <f>F18+F50+F55+F136+F201+F217+F296+F391+F113</f>
        <v>5796038</v>
      </c>
      <c r="G17" s="34">
        <f>G18+G50+G55+G136+G201+G217+G296+G391+G113</f>
        <v>39151372</v>
      </c>
      <c r="H17" s="13"/>
      <c r="I17" s="13"/>
    </row>
    <row r="18" spans="1:9" ht="15.75" x14ac:dyDescent="0.25">
      <c r="A18" s="41" t="s">
        <v>78</v>
      </c>
      <c r="B18" s="30" t="s">
        <v>79</v>
      </c>
      <c r="C18" s="33">
        <f>SUM(C19:C49)</f>
        <v>3219906</v>
      </c>
      <c r="D18" s="33">
        <f>SUM(D19:D49)</f>
        <v>65374</v>
      </c>
      <c r="E18" s="33">
        <f>SUM(E19:E49)</f>
        <v>352101</v>
      </c>
      <c r="F18" s="33">
        <f>SUM(F19:F49)</f>
        <v>0</v>
      </c>
      <c r="G18" s="34">
        <f>SUM(G19:G49)</f>
        <v>3637381</v>
      </c>
      <c r="H18" s="13"/>
      <c r="I18" s="13"/>
    </row>
    <row r="19" spans="1:9" ht="15.75" x14ac:dyDescent="0.25">
      <c r="A19" s="39"/>
      <c r="B19" s="31" t="s">
        <v>1</v>
      </c>
      <c r="C19" s="40">
        <f>G19-D19-F19-E19</f>
        <v>1124198</v>
      </c>
      <c r="D19" s="31">
        <v>0</v>
      </c>
      <c r="E19" s="31">
        <v>263644</v>
      </c>
      <c r="F19" s="31">
        <v>0</v>
      </c>
      <c r="G19" s="34">
        <f>'4.pielikums'!B20</f>
        <v>1387842</v>
      </c>
      <c r="H19" s="13"/>
      <c r="I19" s="13"/>
    </row>
    <row r="20" spans="1:9" s="11" customFormat="1" ht="15.75" x14ac:dyDescent="0.25">
      <c r="A20" s="39"/>
      <c r="B20" s="31" t="s">
        <v>2</v>
      </c>
      <c r="C20" s="40">
        <f>G20</f>
        <v>152507</v>
      </c>
      <c r="D20" s="31"/>
      <c r="E20" s="31"/>
      <c r="F20" s="31"/>
      <c r="G20" s="34">
        <f>'4.pielikums'!B21</f>
        <v>152507</v>
      </c>
      <c r="H20" s="13"/>
      <c r="I20" s="13"/>
    </row>
    <row r="21" spans="1:9" ht="15.75" x14ac:dyDescent="0.25">
      <c r="A21" s="39"/>
      <c r="B21" s="31" t="s">
        <v>3</v>
      </c>
      <c r="C21" s="31">
        <f t="shared" ref="C21:C41" si="0">G21-D21</f>
        <v>28142</v>
      </c>
      <c r="D21" s="31">
        <v>3000</v>
      </c>
      <c r="E21" s="31"/>
      <c r="F21" s="31"/>
      <c r="G21" s="34">
        <f>'4.pielikums'!B22</f>
        <v>31142</v>
      </c>
      <c r="H21" s="13"/>
      <c r="I21" s="13"/>
    </row>
    <row r="22" spans="1:9" s="11" customFormat="1" ht="15.75" x14ac:dyDescent="0.25">
      <c r="A22" s="39"/>
      <c r="B22" s="31" t="s">
        <v>233</v>
      </c>
      <c r="C22" s="40">
        <f>G22-D22</f>
        <v>224628</v>
      </c>
      <c r="D22" s="31"/>
      <c r="E22" s="31"/>
      <c r="F22" s="31"/>
      <c r="G22" s="34">
        <f>'4.pielikums'!B23</f>
        <v>224628</v>
      </c>
      <c r="H22" s="13"/>
      <c r="I22" s="13"/>
    </row>
    <row r="23" spans="1:9" ht="15.75" x14ac:dyDescent="0.25">
      <c r="A23" s="39"/>
      <c r="B23" s="31" t="s">
        <v>4</v>
      </c>
      <c r="C23" s="31">
        <f t="shared" si="0"/>
        <v>39303</v>
      </c>
      <c r="D23" s="31">
        <v>3700</v>
      </c>
      <c r="E23" s="31"/>
      <c r="F23" s="31"/>
      <c r="G23" s="34">
        <f>'4.pielikums'!B24</f>
        <v>43003</v>
      </c>
      <c r="H23" s="13"/>
      <c r="I23" s="13"/>
    </row>
    <row r="24" spans="1:9" ht="15.75" x14ac:dyDescent="0.25">
      <c r="A24" s="39"/>
      <c r="B24" s="31" t="s">
        <v>5</v>
      </c>
      <c r="C24" s="31">
        <f>71121+279</f>
        <v>71400</v>
      </c>
      <c r="D24" s="31">
        <v>2190</v>
      </c>
      <c r="E24" s="31"/>
      <c r="F24" s="31"/>
      <c r="G24" s="34">
        <f>'4.pielikums'!B25</f>
        <v>73590</v>
      </c>
      <c r="H24" s="13"/>
      <c r="I24" s="13"/>
    </row>
    <row r="25" spans="1:9" ht="15.75" x14ac:dyDescent="0.25">
      <c r="A25" s="39"/>
      <c r="B25" s="31" t="s">
        <v>6</v>
      </c>
      <c r="C25" s="31">
        <f t="shared" si="0"/>
        <v>39825</v>
      </c>
      <c r="D25" s="31">
        <v>900</v>
      </c>
      <c r="E25" s="31"/>
      <c r="F25" s="31"/>
      <c r="G25" s="34">
        <f>'4.pielikums'!B26</f>
        <v>40725</v>
      </c>
      <c r="H25" s="13"/>
      <c r="I25" s="13"/>
    </row>
    <row r="26" spans="1:9" ht="15.75" x14ac:dyDescent="0.25">
      <c r="A26" s="39"/>
      <c r="B26" s="31" t="s">
        <v>7</v>
      </c>
      <c r="C26" s="31">
        <f t="shared" si="0"/>
        <v>52755</v>
      </c>
      <c r="D26" s="31">
        <v>2000</v>
      </c>
      <c r="E26" s="31"/>
      <c r="F26" s="31"/>
      <c r="G26" s="34">
        <f>'4.pielikums'!B27</f>
        <v>54755</v>
      </c>
      <c r="H26" s="13"/>
      <c r="I26" s="13"/>
    </row>
    <row r="27" spans="1:9" ht="15.75" x14ac:dyDescent="0.25">
      <c r="A27" s="39"/>
      <c r="B27" s="31" t="s">
        <v>8</v>
      </c>
      <c r="C27" s="31">
        <f t="shared" si="0"/>
        <v>48965</v>
      </c>
      <c r="D27" s="31">
        <v>1580</v>
      </c>
      <c r="E27" s="31"/>
      <c r="F27" s="31"/>
      <c r="G27" s="34">
        <f>'4.pielikums'!B28</f>
        <v>50545</v>
      </c>
      <c r="H27" s="13"/>
      <c r="I27" s="13"/>
    </row>
    <row r="28" spans="1:9" s="11" customFormat="1" ht="15.75" x14ac:dyDescent="0.25">
      <c r="A28" s="39"/>
      <c r="B28" s="31" t="s">
        <v>234</v>
      </c>
      <c r="C28" s="40">
        <f>G28-D28</f>
        <v>40158</v>
      </c>
      <c r="D28" s="31">
        <v>525</v>
      </c>
      <c r="E28" s="31"/>
      <c r="F28" s="31"/>
      <c r="G28" s="34">
        <f>'4.pielikums'!B29</f>
        <v>40683</v>
      </c>
      <c r="H28" s="13"/>
      <c r="I28" s="13"/>
    </row>
    <row r="29" spans="1:9" s="11" customFormat="1" ht="15.75" x14ac:dyDescent="0.25">
      <c r="A29" s="39"/>
      <c r="B29" s="31" t="s">
        <v>309</v>
      </c>
      <c r="C29" s="40">
        <f>G29</f>
        <v>3468</v>
      </c>
      <c r="D29" s="31"/>
      <c r="E29" s="31"/>
      <c r="F29" s="31"/>
      <c r="G29" s="34">
        <f>'4.pielikums'!B30</f>
        <v>3468</v>
      </c>
      <c r="H29" s="13"/>
      <c r="I29" s="13"/>
    </row>
    <row r="30" spans="1:9" ht="15.75" x14ac:dyDescent="0.25">
      <c r="A30" s="39"/>
      <c r="B30" s="31" t="s">
        <v>9</v>
      </c>
      <c r="C30" s="40">
        <f>37644-1200</f>
        <v>36444</v>
      </c>
      <c r="D30" s="31">
        <v>1800</v>
      </c>
      <c r="E30" s="31"/>
      <c r="F30" s="31"/>
      <c r="G30" s="34">
        <f>'4.pielikums'!B31</f>
        <v>38244</v>
      </c>
      <c r="H30" s="13"/>
      <c r="I30" s="13"/>
    </row>
    <row r="31" spans="1:9" s="11" customFormat="1" ht="15.75" x14ac:dyDescent="0.25">
      <c r="A31" s="39"/>
      <c r="B31" s="108" t="s">
        <v>235</v>
      </c>
      <c r="C31" s="31">
        <f t="shared" si="0"/>
        <v>33247</v>
      </c>
      <c r="D31" s="31">
        <v>385</v>
      </c>
      <c r="E31" s="31"/>
      <c r="F31" s="31"/>
      <c r="G31" s="34">
        <f>'4.pielikums'!B32</f>
        <v>33632</v>
      </c>
      <c r="H31" s="13"/>
      <c r="I31" s="13"/>
    </row>
    <row r="32" spans="1:9" s="11" customFormat="1" ht="15.75" x14ac:dyDescent="0.25">
      <c r="A32" s="39"/>
      <c r="B32" s="108" t="s">
        <v>308</v>
      </c>
      <c r="C32" s="31">
        <f t="shared" si="0"/>
        <v>222941</v>
      </c>
      <c r="D32" s="31"/>
      <c r="E32" s="31"/>
      <c r="F32" s="31"/>
      <c r="G32" s="34">
        <f>'4.pielikums'!B33</f>
        <v>222941</v>
      </c>
      <c r="H32" s="13"/>
      <c r="I32" s="13"/>
    </row>
    <row r="33" spans="1:9" s="11" customFormat="1" ht="24" customHeight="1" x14ac:dyDescent="0.25">
      <c r="A33" s="39"/>
      <c r="B33" s="108" t="s">
        <v>236</v>
      </c>
      <c r="C33" s="31">
        <f t="shared" si="0"/>
        <v>19332</v>
      </c>
      <c r="D33" s="31">
        <v>569</v>
      </c>
      <c r="E33" s="31"/>
      <c r="F33" s="31"/>
      <c r="G33" s="34">
        <f>'4.pielikums'!B34</f>
        <v>19901</v>
      </c>
      <c r="H33" s="13"/>
      <c r="I33" s="13"/>
    </row>
    <row r="34" spans="1:9" s="11" customFormat="1" ht="24" customHeight="1" x14ac:dyDescent="0.25">
      <c r="A34" s="39"/>
      <c r="B34" s="108" t="s">
        <v>237</v>
      </c>
      <c r="C34" s="31">
        <f t="shared" si="0"/>
        <v>39636</v>
      </c>
      <c r="D34" s="31">
        <v>1076</v>
      </c>
      <c r="E34" s="31"/>
      <c r="F34" s="31"/>
      <c r="G34" s="34">
        <f>'4.pielikums'!B35</f>
        <v>40712</v>
      </c>
      <c r="H34" s="13"/>
      <c r="I34" s="13"/>
    </row>
    <row r="35" spans="1:9" ht="15.75" x14ac:dyDescent="0.25">
      <c r="A35" s="39"/>
      <c r="B35" s="31" t="s">
        <v>10</v>
      </c>
      <c r="C35" s="31">
        <f t="shared" si="0"/>
        <v>51654</v>
      </c>
      <c r="D35" s="31">
        <v>17000</v>
      </c>
      <c r="E35" s="31"/>
      <c r="F35" s="31"/>
      <c r="G35" s="34">
        <f>'4.pielikums'!B36</f>
        <v>68654</v>
      </c>
      <c r="H35" s="13"/>
      <c r="I35" s="13"/>
    </row>
    <row r="36" spans="1:9" ht="15.75" x14ac:dyDescent="0.25">
      <c r="A36" s="39"/>
      <c r="B36" s="31" t="s">
        <v>11</v>
      </c>
      <c r="C36" s="40">
        <f>G36-D36-E36-F36</f>
        <v>43301</v>
      </c>
      <c r="D36" s="31">
        <v>6620</v>
      </c>
      <c r="E36" s="31"/>
      <c r="F36" s="31"/>
      <c r="G36" s="34">
        <f>'4.pielikums'!B37</f>
        <v>49921</v>
      </c>
      <c r="H36" s="13"/>
      <c r="I36" s="13"/>
    </row>
    <row r="37" spans="1:9" s="11" customFormat="1" ht="15.75" x14ac:dyDescent="0.25">
      <c r="A37" s="39"/>
      <c r="B37" s="31" t="s">
        <v>238</v>
      </c>
      <c r="C37" s="31">
        <f t="shared" si="0"/>
        <v>34687</v>
      </c>
      <c r="D37" s="31">
        <v>1300</v>
      </c>
      <c r="E37" s="31"/>
      <c r="F37" s="31"/>
      <c r="G37" s="34">
        <f>'4.pielikums'!B38</f>
        <v>35987</v>
      </c>
      <c r="H37" s="13"/>
      <c r="I37" s="13"/>
    </row>
    <row r="38" spans="1:9" ht="15.75" x14ac:dyDescent="0.25">
      <c r="A38" s="39"/>
      <c r="B38" s="31" t="s">
        <v>12</v>
      </c>
      <c r="C38" s="31">
        <f t="shared" si="0"/>
        <v>52128</v>
      </c>
      <c r="D38" s="31">
        <v>4000</v>
      </c>
      <c r="E38" s="31"/>
      <c r="F38" s="31"/>
      <c r="G38" s="34">
        <f>'4.pielikums'!B39</f>
        <v>56128</v>
      </c>
      <c r="H38" s="13"/>
      <c r="I38" s="13"/>
    </row>
    <row r="39" spans="1:9" s="11" customFormat="1" ht="15.75" x14ac:dyDescent="0.25">
      <c r="A39" s="39"/>
      <c r="B39" s="108" t="s">
        <v>230</v>
      </c>
      <c r="C39" s="40">
        <f>G39-D39-E39</f>
        <v>475537</v>
      </c>
      <c r="D39" s="31">
        <v>5040</v>
      </c>
      <c r="E39" s="31">
        <v>2516</v>
      </c>
      <c r="F39" s="31"/>
      <c r="G39" s="34">
        <f>'4.pielikums'!B40</f>
        <v>483093</v>
      </c>
      <c r="H39" s="13"/>
      <c r="I39" s="13"/>
    </row>
    <row r="40" spans="1:9" s="11" customFormat="1" ht="15.75" x14ac:dyDescent="0.25">
      <c r="A40" s="39"/>
      <c r="B40" s="108" t="s">
        <v>239</v>
      </c>
      <c r="C40" s="31">
        <f t="shared" si="0"/>
        <v>32873</v>
      </c>
      <c r="D40" s="31">
        <v>325</v>
      </c>
      <c r="E40" s="31"/>
      <c r="F40" s="31"/>
      <c r="G40" s="34">
        <f>'4.pielikums'!B41</f>
        <v>33198</v>
      </c>
      <c r="H40" s="13"/>
      <c r="I40" s="13"/>
    </row>
    <row r="41" spans="1:9" s="11" customFormat="1" ht="15.75" x14ac:dyDescent="0.25">
      <c r="A41" s="39"/>
      <c r="B41" s="108" t="s">
        <v>472</v>
      </c>
      <c r="C41" s="31">
        <f t="shared" si="0"/>
        <v>89517</v>
      </c>
      <c r="D41" s="31"/>
      <c r="E41" s="31"/>
      <c r="F41" s="31"/>
      <c r="G41" s="34">
        <f>'4.pielikums'!B42</f>
        <v>89517</v>
      </c>
      <c r="H41" s="13"/>
      <c r="I41" s="13"/>
    </row>
    <row r="42" spans="1:9" s="11" customFormat="1" ht="32.450000000000003" customHeight="1" x14ac:dyDescent="0.25">
      <c r="A42" s="39"/>
      <c r="B42" s="32" t="s">
        <v>231</v>
      </c>
      <c r="C42" s="40">
        <f>G42-E42-D42</f>
        <v>47835</v>
      </c>
      <c r="D42" s="31">
        <v>6890</v>
      </c>
      <c r="E42" s="31">
        <f>30360+7200</f>
        <v>37560</v>
      </c>
      <c r="F42" s="31"/>
      <c r="G42" s="34">
        <f>'4.pielikums'!B43</f>
        <v>92285</v>
      </c>
      <c r="H42" s="13"/>
      <c r="I42" s="13"/>
    </row>
    <row r="43" spans="1:9" s="11" customFormat="1" ht="31.5" x14ac:dyDescent="0.25">
      <c r="A43" s="39"/>
      <c r="B43" s="32" t="s">
        <v>159</v>
      </c>
      <c r="C43" s="40">
        <v>57412</v>
      </c>
      <c r="D43" s="31">
        <v>6474</v>
      </c>
      <c r="E43" s="31"/>
      <c r="F43" s="31"/>
      <c r="G43" s="34">
        <f>'4.pielikums'!B57</f>
        <v>63886</v>
      </c>
      <c r="H43" s="13"/>
      <c r="I43" s="13"/>
    </row>
    <row r="44" spans="1:9" s="11" customFormat="1" ht="47.45" customHeight="1" x14ac:dyDescent="0.25">
      <c r="A44" s="39"/>
      <c r="B44" s="32" t="s">
        <v>218</v>
      </c>
      <c r="C44" s="40">
        <v>13125</v>
      </c>
      <c r="D44" s="31"/>
      <c r="E44" s="31">
        <v>5625</v>
      </c>
      <c r="F44" s="31"/>
      <c r="G44" s="34">
        <f>'4.pielikums'!B48</f>
        <v>18750</v>
      </c>
      <c r="H44" s="13"/>
      <c r="I44" s="13"/>
    </row>
    <row r="45" spans="1:9" s="11" customFormat="1" ht="55.5" customHeight="1" x14ac:dyDescent="0.25">
      <c r="A45" s="39"/>
      <c r="B45" s="32" t="s">
        <v>219</v>
      </c>
      <c r="C45" s="40">
        <v>18100</v>
      </c>
      <c r="D45" s="31"/>
      <c r="E45" s="31">
        <v>18100</v>
      </c>
      <c r="F45" s="31"/>
      <c r="G45" s="34">
        <f>'4.pielikums'!B49</f>
        <v>36200</v>
      </c>
      <c r="H45" s="13"/>
      <c r="I45" s="13"/>
    </row>
    <row r="46" spans="1:9" ht="47.25" x14ac:dyDescent="0.25">
      <c r="A46" s="39"/>
      <c r="B46" s="32" t="s">
        <v>150</v>
      </c>
      <c r="C46" s="31">
        <f>54311+1452</f>
        <v>55763</v>
      </c>
      <c r="D46" s="31"/>
      <c r="E46" s="31"/>
      <c r="F46" s="31"/>
      <c r="G46" s="34">
        <f>'4.pielikums'!B46</f>
        <v>55763</v>
      </c>
      <c r="H46" s="13"/>
      <c r="I46" s="13"/>
    </row>
    <row r="47" spans="1:9" ht="35.25" customHeight="1" x14ac:dyDescent="0.25">
      <c r="A47" s="39"/>
      <c r="B47" s="32" t="s">
        <v>13</v>
      </c>
      <c r="C47" s="31">
        <f>18634-1285-1173-16176</f>
        <v>0</v>
      </c>
      <c r="D47" s="31"/>
      <c r="E47" s="31"/>
      <c r="F47" s="31"/>
      <c r="G47" s="34">
        <f>'4.pielikums'!B44</f>
        <v>0</v>
      </c>
      <c r="H47" s="13"/>
      <c r="I47" s="13"/>
    </row>
    <row r="48" spans="1:9" ht="15.75" x14ac:dyDescent="0.25">
      <c r="A48" s="39"/>
      <c r="B48" s="31" t="s">
        <v>14</v>
      </c>
      <c r="C48" s="31">
        <f>G48</f>
        <v>32021</v>
      </c>
      <c r="D48" s="31"/>
      <c r="E48" s="31"/>
      <c r="F48" s="31"/>
      <c r="G48" s="34">
        <f>'4.pielikums'!B45</f>
        <v>32021</v>
      </c>
      <c r="H48" s="13"/>
      <c r="I48" s="13"/>
    </row>
    <row r="49" spans="1:10" s="11" customFormat="1" ht="15.75" x14ac:dyDescent="0.25">
      <c r="A49" s="39"/>
      <c r="B49" s="31" t="s">
        <v>197</v>
      </c>
      <c r="C49" s="31">
        <v>39004</v>
      </c>
      <c r="D49" s="31"/>
      <c r="E49" s="31">
        <v>24656</v>
      </c>
      <c r="F49" s="31"/>
      <c r="G49" s="34">
        <f>'4.pielikums'!B47</f>
        <v>63660</v>
      </c>
      <c r="H49" s="13"/>
      <c r="I49" s="13"/>
    </row>
    <row r="50" spans="1:10" ht="15.75" x14ac:dyDescent="0.25">
      <c r="A50" s="41" t="s">
        <v>80</v>
      </c>
      <c r="B50" s="109" t="s">
        <v>81</v>
      </c>
      <c r="C50" s="33">
        <f>SUM(C51:C54)</f>
        <v>293692</v>
      </c>
      <c r="D50" s="33">
        <f t="shared" ref="D50:F50" si="1">SUM(D51:D54)</f>
        <v>12050</v>
      </c>
      <c r="E50" s="33">
        <f t="shared" si="1"/>
        <v>11239</v>
      </c>
      <c r="F50" s="33">
        <f t="shared" si="1"/>
        <v>0</v>
      </c>
      <c r="G50" s="34">
        <f>SUM(G51:G54)</f>
        <v>316981</v>
      </c>
      <c r="H50" s="13"/>
      <c r="I50" s="13"/>
    </row>
    <row r="51" spans="1:10" ht="15.75" x14ac:dyDescent="0.25">
      <c r="A51" s="39"/>
      <c r="B51" s="31" t="s">
        <v>16</v>
      </c>
      <c r="C51" s="40">
        <f>G51-D51-E51</f>
        <v>165955</v>
      </c>
      <c r="D51" s="31">
        <v>3000</v>
      </c>
      <c r="E51" s="31">
        <v>6439</v>
      </c>
      <c r="F51" s="31"/>
      <c r="G51" s="34">
        <f>'4.pielikums'!B51</f>
        <v>175394</v>
      </c>
      <c r="H51" s="13"/>
      <c r="I51" s="13"/>
    </row>
    <row r="52" spans="1:10" ht="15.75" x14ac:dyDescent="0.25">
      <c r="A52" s="39"/>
      <c r="B52" s="31" t="s">
        <v>15</v>
      </c>
      <c r="C52" s="31">
        <f>G52-D52</f>
        <v>88802</v>
      </c>
      <c r="D52" s="31">
        <v>3050</v>
      </c>
      <c r="E52" s="31"/>
      <c r="F52" s="31"/>
      <c r="G52" s="34">
        <f>'4.pielikums'!B50</f>
        <v>91852</v>
      </c>
      <c r="H52" s="13"/>
      <c r="I52" s="13"/>
    </row>
    <row r="53" spans="1:10" s="11" customFormat="1" ht="15.75" x14ac:dyDescent="0.25">
      <c r="A53" s="39"/>
      <c r="B53" s="31" t="s">
        <v>140</v>
      </c>
      <c r="C53" s="40">
        <f>G53-D53-E53</f>
        <v>38335</v>
      </c>
      <c r="D53" s="31">
        <v>6000</v>
      </c>
      <c r="E53" s="31">
        <v>4800</v>
      </c>
      <c r="F53" s="31"/>
      <c r="G53" s="34">
        <f>'4.pielikums'!B52</f>
        <v>49135</v>
      </c>
      <c r="H53" s="13"/>
      <c r="I53" s="13"/>
    </row>
    <row r="54" spans="1:10" s="11" customFormat="1" ht="31.5" x14ac:dyDescent="0.25">
      <c r="A54" s="39"/>
      <c r="B54" s="32" t="s">
        <v>471</v>
      </c>
      <c r="C54" s="40">
        <v>600</v>
      </c>
      <c r="D54" s="31"/>
      <c r="E54" s="31"/>
      <c r="F54" s="31"/>
      <c r="G54" s="34">
        <f>'4.pielikums'!B53</f>
        <v>600</v>
      </c>
      <c r="H54" s="13"/>
      <c r="I54" s="13"/>
    </row>
    <row r="55" spans="1:10" ht="15.75" x14ac:dyDescent="0.25">
      <c r="A55" s="41" t="s">
        <v>82</v>
      </c>
      <c r="B55" s="30" t="s">
        <v>131</v>
      </c>
      <c r="C55" s="33">
        <f>SUM(C56:C112)</f>
        <v>1253272</v>
      </c>
      <c r="D55" s="33">
        <f>SUM(D56:D112)</f>
        <v>31510</v>
      </c>
      <c r="E55" s="33">
        <f>SUM(E56:E112)</f>
        <v>3725855</v>
      </c>
      <c r="F55" s="33">
        <f>SUM(F56:F112)</f>
        <v>4048482</v>
      </c>
      <c r="G55" s="34">
        <f>SUM(G56:G112)</f>
        <v>9059119</v>
      </c>
      <c r="H55" s="13"/>
      <c r="I55" s="13"/>
    </row>
    <row r="56" spans="1:10" s="11" customFormat="1" ht="15.75" x14ac:dyDescent="0.25">
      <c r="A56" s="39"/>
      <c r="B56" s="32" t="s">
        <v>144</v>
      </c>
      <c r="C56" s="40">
        <v>10727</v>
      </c>
      <c r="D56" s="33"/>
      <c r="E56" s="40">
        <v>404995</v>
      </c>
      <c r="F56" s="33"/>
      <c r="G56" s="34">
        <f>'4.pielikums'!B84</f>
        <v>415722</v>
      </c>
      <c r="H56" s="13"/>
      <c r="I56" s="13"/>
      <c r="J56" s="13"/>
    </row>
    <row r="57" spans="1:10" ht="15.75" x14ac:dyDescent="0.25">
      <c r="A57" s="42"/>
      <c r="B57" s="31" t="s">
        <v>83</v>
      </c>
      <c r="C57" s="40">
        <f t="shared" ref="C57:C63" si="2">G57-D57-E57-F57</f>
        <v>90866</v>
      </c>
      <c r="D57" s="31">
        <v>7211</v>
      </c>
      <c r="E57" s="31"/>
      <c r="F57" s="31"/>
      <c r="G57" s="34">
        <f>'4.pielikums'!B54</f>
        <v>98077</v>
      </c>
      <c r="H57" s="13"/>
      <c r="I57" s="13"/>
    </row>
    <row r="58" spans="1:10" s="11" customFormat="1" ht="15.75" x14ac:dyDescent="0.25">
      <c r="A58" s="42"/>
      <c r="B58" s="103" t="s">
        <v>242</v>
      </c>
      <c r="C58" s="40">
        <f t="shared" si="2"/>
        <v>0</v>
      </c>
      <c r="D58" s="31"/>
      <c r="E58" s="31">
        <v>202616</v>
      </c>
      <c r="F58" s="31"/>
      <c r="G58" s="34">
        <f>'4.pielikums'!B67</f>
        <v>202616</v>
      </c>
      <c r="H58" s="13"/>
      <c r="I58" s="13"/>
    </row>
    <row r="59" spans="1:10" s="11" customFormat="1" ht="15.75" x14ac:dyDescent="0.25">
      <c r="A59" s="42"/>
      <c r="B59" s="103" t="s">
        <v>241</v>
      </c>
      <c r="C59" s="40">
        <f t="shared" si="2"/>
        <v>13823</v>
      </c>
      <c r="D59" s="31"/>
      <c r="E59" s="31">
        <v>103823</v>
      </c>
      <c r="F59" s="31">
        <v>329206</v>
      </c>
      <c r="G59" s="34">
        <f>'4.pielikums'!B68</f>
        <v>446852</v>
      </c>
      <c r="H59" s="13"/>
      <c r="I59" s="13"/>
    </row>
    <row r="60" spans="1:10" s="11" customFormat="1" ht="15.75" x14ac:dyDescent="0.25">
      <c r="A60" s="42"/>
      <c r="B60" s="110" t="s">
        <v>243</v>
      </c>
      <c r="C60" s="40">
        <f t="shared" si="2"/>
        <v>168845</v>
      </c>
      <c r="D60" s="31"/>
      <c r="E60" s="31">
        <v>147994</v>
      </c>
      <c r="F60" s="31"/>
      <c r="G60" s="34">
        <f>'4.pielikums'!B69</f>
        <v>316839</v>
      </c>
      <c r="H60" s="13"/>
      <c r="I60" s="13"/>
    </row>
    <row r="61" spans="1:10" s="11" customFormat="1" ht="15.75" x14ac:dyDescent="0.25">
      <c r="A61" s="42"/>
      <c r="B61" s="111" t="s">
        <v>311</v>
      </c>
      <c r="C61" s="40">
        <f t="shared" si="2"/>
        <v>8366</v>
      </c>
      <c r="D61" s="31"/>
      <c r="E61" s="31">
        <v>63376</v>
      </c>
      <c r="F61" s="31"/>
      <c r="G61" s="34">
        <f>'4.pielikums'!B70</f>
        <v>71742</v>
      </c>
      <c r="H61" s="13"/>
      <c r="I61" s="13"/>
    </row>
    <row r="62" spans="1:10" s="11" customFormat="1" ht="15.75" x14ac:dyDescent="0.25">
      <c r="A62" s="42"/>
      <c r="B62" s="112" t="s">
        <v>468</v>
      </c>
      <c r="C62" s="40">
        <f t="shared" si="2"/>
        <v>15000</v>
      </c>
      <c r="D62" s="31"/>
      <c r="E62" s="31"/>
      <c r="F62" s="31">
        <v>85000</v>
      </c>
      <c r="G62" s="34">
        <f>'4.pielikums'!B71</f>
        <v>100000</v>
      </c>
      <c r="H62" s="13"/>
      <c r="I62" s="13"/>
    </row>
    <row r="63" spans="1:10" s="11" customFormat="1" ht="31.5" x14ac:dyDescent="0.25">
      <c r="A63" s="42"/>
      <c r="B63" s="112" t="s">
        <v>469</v>
      </c>
      <c r="C63" s="40">
        <f t="shared" si="2"/>
        <v>46476</v>
      </c>
      <c r="D63" s="31"/>
      <c r="E63" s="31"/>
      <c r="F63" s="31">
        <v>224880</v>
      </c>
      <c r="G63" s="34">
        <f>'4.pielikums'!B72</f>
        <v>271356</v>
      </c>
      <c r="H63" s="13"/>
      <c r="I63" s="13"/>
    </row>
    <row r="64" spans="1:10" s="11" customFormat="1" ht="31.5" x14ac:dyDescent="0.25">
      <c r="A64" s="42"/>
      <c r="B64" s="83" t="s">
        <v>176</v>
      </c>
      <c r="C64" s="31">
        <f>130359+9802</f>
        <v>140161</v>
      </c>
      <c r="D64" s="31"/>
      <c r="E64" s="31">
        <v>137702</v>
      </c>
      <c r="F64" s="31">
        <v>0</v>
      </c>
      <c r="G64" s="34">
        <f>'4.pielikums'!B73</f>
        <v>277863</v>
      </c>
      <c r="H64" s="13"/>
      <c r="I64" s="13"/>
    </row>
    <row r="65" spans="1:9" s="11" customFormat="1" ht="31.5" x14ac:dyDescent="0.25">
      <c r="A65" s="42"/>
      <c r="B65" s="83" t="s">
        <v>177</v>
      </c>
      <c r="C65" s="31">
        <v>14054</v>
      </c>
      <c r="D65" s="31"/>
      <c r="E65" s="31">
        <v>25364</v>
      </c>
      <c r="F65" s="31">
        <v>0</v>
      </c>
      <c r="G65" s="34">
        <f>'4.pielikums'!B74</f>
        <v>39418</v>
      </c>
      <c r="H65" s="13"/>
      <c r="I65" s="13"/>
    </row>
    <row r="66" spans="1:9" s="11" customFormat="1" ht="31.5" x14ac:dyDescent="0.25">
      <c r="A66" s="42"/>
      <c r="B66" s="83" t="s">
        <v>178</v>
      </c>
      <c r="C66" s="31">
        <v>7571</v>
      </c>
      <c r="D66" s="31"/>
      <c r="E66" s="31">
        <v>23271</v>
      </c>
      <c r="F66" s="31">
        <v>0</v>
      </c>
      <c r="G66" s="34">
        <f>'4.pielikums'!B75</f>
        <v>30842</v>
      </c>
      <c r="H66" s="13"/>
      <c r="I66" s="13"/>
    </row>
    <row r="67" spans="1:9" s="11" customFormat="1" ht="31.5" x14ac:dyDescent="0.25">
      <c r="A67" s="42"/>
      <c r="B67" s="83" t="s">
        <v>179</v>
      </c>
      <c r="C67" s="31">
        <v>15301</v>
      </c>
      <c r="D67" s="31"/>
      <c r="E67" s="31">
        <v>46249</v>
      </c>
      <c r="F67" s="31">
        <v>0</v>
      </c>
      <c r="G67" s="34">
        <f>'4.pielikums'!B76</f>
        <v>61550</v>
      </c>
      <c r="H67" s="13"/>
      <c r="I67" s="13"/>
    </row>
    <row r="68" spans="1:9" s="11" customFormat="1" ht="31.5" x14ac:dyDescent="0.25">
      <c r="A68" s="42"/>
      <c r="B68" s="83" t="s">
        <v>180</v>
      </c>
      <c r="C68" s="31">
        <v>34693</v>
      </c>
      <c r="D68" s="31"/>
      <c r="E68" s="31">
        <v>29131</v>
      </c>
      <c r="F68" s="31">
        <v>0</v>
      </c>
      <c r="G68" s="34">
        <f>'4.pielikums'!B77</f>
        <v>63824</v>
      </c>
      <c r="H68" s="13"/>
      <c r="I68" s="13"/>
    </row>
    <row r="69" spans="1:9" s="11" customFormat="1" ht="31.5" x14ac:dyDescent="0.25">
      <c r="A69" s="42"/>
      <c r="B69" s="83" t="s">
        <v>181</v>
      </c>
      <c r="C69" s="31">
        <v>15006</v>
      </c>
      <c r="D69" s="31"/>
      <c r="E69" s="31">
        <v>18081</v>
      </c>
      <c r="F69" s="31"/>
      <c r="G69" s="34">
        <f>'4.pielikums'!B78</f>
        <v>33087</v>
      </c>
      <c r="H69" s="13"/>
      <c r="I69" s="13"/>
    </row>
    <row r="70" spans="1:9" s="11" customFormat="1" ht="31.5" x14ac:dyDescent="0.25">
      <c r="A70" s="42"/>
      <c r="B70" s="83" t="s">
        <v>182</v>
      </c>
      <c r="C70" s="31">
        <v>3351</v>
      </c>
      <c r="D70" s="31"/>
      <c r="E70" s="31">
        <v>45705</v>
      </c>
      <c r="F70" s="31"/>
      <c r="G70" s="34">
        <f>'4.pielikums'!B79</f>
        <v>49056</v>
      </c>
      <c r="H70" s="13"/>
      <c r="I70" s="13"/>
    </row>
    <row r="71" spans="1:9" s="11" customFormat="1" ht="31.5" x14ac:dyDescent="0.25">
      <c r="A71" s="42"/>
      <c r="B71" s="83" t="s">
        <v>183</v>
      </c>
      <c r="C71" s="31">
        <f>314+2200+8065</f>
        <v>10579</v>
      </c>
      <c r="D71" s="31"/>
      <c r="E71" s="31">
        <v>13686</v>
      </c>
      <c r="F71" s="31"/>
      <c r="G71" s="34">
        <f>'4.pielikums'!B80</f>
        <v>24265</v>
      </c>
      <c r="H71" s="13"/>
      <c r="I71" s="13"/>
    </row>
    <row r="72" spans="1:9" s="11" customFormat="1" ht="31.5" x14ac:dyDescent="0.25">
      <c r="A72" s="42"/>
      <c r="B72" s="83" t="s">
        <v>184</v>
      </c>
      <c r="C72" s="31">
        <v>12478</v>
      </c>
      <c r="D72" s="31"/>
      <c r="E72" s="31">
        <v>41143</v>
      </c>
      <c r="F72" s="31"/>
      <c r="G72" s="34">
        <f>'4.pielikums'!B81</f>
        <v>53621</v>
      </c>
      <c r="H72" s="13"/>
      <c r="I72" s="13"/>
    </row>
    <row r="73" spans="1:9" s="11" customFormat="1" ht="31.5" x14ac:dyDescent="0.25">
      <c r="A73" s="42"/>
      <c r="B73" s="83" t="s">
        <v>185</v>
      </c>
      <c r="C73" s="31">
        <v>10967</v>
      </c>
      <c r="D73" s="31"/>
      <c r="E73" s="31">
        <v>12431</v>
      </c>
      <c r="F73" s="31"/>
      <c r="G73" s="34">
        <f>'4.pielikums'!B82</f>
        <v>23398</v>
      </c>
      <c r="H73" s="13"/>
      <c r="I73" s="13"/>
    </row>
    <row r="74" spans="1:9" s="11" customFormat="1" ht="31.5" x14ac:dyDescent="0.25">
      <c r="A74" s="42"/>
      <c r="B74" s="83" t="s">
        <v>186</v>
      </c>
      <c r="C74" s="31">
        <v>8914</v>
      </c>
      <c r="D74" s="31"/>
      <c r="E74" s="31">
        <v>25782</v>
      </c>
      <c r="F74" s="31"/>
      <c r="G74" s="34">
        <f>'4.pielikums'!B83</f>
        <v>34696</v>
      </c>
      <c r="H74" s="13"/>
      <c r="I74" s="13"/>
    </row>
    <row r="75" spans="1:9" s="11" customFormat="1" ht="31.5" x14ac:dyDescent="0.25">
      <c r="A75" s="42"/>
      <c r="B75" s="83" t="s">
        <v>494</v>
      </c>
      <c r="C75" s="31"/>
      <c r="D75" s="31"/>
      <c r="E75" s="31"/>
      <c r="F75" s="31">
        <v>122836</v>
      </c>
      <c r="G75" s="34">
        <f>'4.pielikums'!B399</f>
        <v>122836</v>
      </c>
      <c r="H75" s="13"/>
      <c r="I75" s="13"/>
    </row>
    <row r="76" spans="1:9" s="11" customFormat="1" ht="31.5" x14ac:dyDescent="0.25">
      <c r="A76" s="42"/>
      <c r="B76" s="83" t="s">
        <v>495</v>
      </c>
      <c r="C76" s="31"/>
      <c r="D76" s="31"/>
      <c r="E76" s="31"/>
      <c r="F76" s="31">
        <v>282363</v>
      </c>
      <c r="G76" s="34">
        <f>'4.pielikums'!B400</f>
        <v>282363</v>
      </c>
      <c r="H76" s="13"/>
      <c r="I76" s="13"/>
    </row>
    <row r="77" spans="1:9" s="11" customFormat="1" ht="47.25" x14ac:dyDescent="0.25">
      <c r="A77" s="42"/>
      <c r="B77" s="83" t="s">
        <v>510</v>
      </c>
      <c r="C77" s="31">
        <v>16179</v>
      </c>
      <c r="D77" s="31"/>
      <c r="E77" s="31"/>
      <c r="F77" s="31">
        <v>91683</v>
      </c>
      <c r="G77" s="34">
        <f>'4.pielikums'!B406</f>
        <v>107862</v>
      </c>
      <c r="H77" s="13"/>
      <c r="I77" s="13"/>
    </row>
    <row r="78" spans="1:9" s="11" customFormat="1" ht="31.5" x14ac:dyDescent="0.25">
      <c r="A78" s="42"/>
      <c r="B78" s="83" t="s">
        <v>314</v>
      </c>
      <c r="C78" s="31">
        <v>2247</v>
      </c>
      <c r="D78" s="31"/>
      <c r="E78" s="31">
        <v>1750</v>
      </c>
      <c r="F78" s="31"/>
      <c r="G78" s="34">
        <f>'4.pielikums'!B86</f>
        <v>3997</v>
      </c>
      <c r="H78" s="13"/>
      <c r="I78" s="13"/>
    </row>
    <row r="79" spans="1:9" s="11" customFormat="1" ht="15.75" x14ac:dyDescent="0.25">
      <c r="A79" s="42"/>
      <c r="B79" s="103" t="s">
        <v>320</v>
      </c>
      <c r="C79" s="31">
        <v>26092</v>
      </c>
      <c r="D79" s="31"/>
      <c r="E79" s="31">
        <v>200000</v>
      </c>
      <c r="F79" s="31">
        <v>375362</v>
      </c>
      <c r="G79" s="34">
        <f>'4.pielikums'!B88</f>
        <v>601454</v>
      </c>
      <c r="H79" s="13"/>
      <c r="I79" s="13"/>
    </row>
    <row r="80" spans="1:9" s="11" customFormat="1" ht="15.75" x14ac:dyDescent="0.25">
      <c r="A80" s="42"/>
      <c r="B80" s="103" t="s">
        <v>319</v>
      </c>
      <c r="C80" s="31">
        <v>2350</v>
      </c>
      <c r="D80" s="31"/>
      <c r="E80" s="31"/>
      <c r="F80" s="31"/>
      <c r="G80" s="34">
        <f>'4.pielikums'!B89</f>
        <v>2350</v>
      </c>
      <c r="H80" s="13"/>
      <c r="I80" s="13"/>
    </row>
    <row r="81" spans="1:9" s="11" customFormat="1" ht="31.5" x14ac:dyDescent="0.25">
      <c r="A81" s="42"/>
      <c r="B81" s="103" t="s">
        <v>318</v>
      </c>
      <c r="C81" s="31"/>
      <c r="D81" s="31"/>
      <c r="E81" s="31">
        <v>42799</v>
      </c>
      <c r="F81" s="31"/>
      <c r="G81" s="34">
        <f>'4.pielikums'!B90</f>
        <v>42799</v>
      </c>
      <c r="H81" s="13"/>
      <c r="I81" s="13"/>
    </row>
    <row r="82" spans="1:9" s="11" customFormat="1" ht="15.75" x14ac:dyDescent="0.25">
      <c r="A82" s="42"/>
      <c r="B82" s="103" t="s">
        <v>317</v>
      </c>
      <c r="C82" s="31">
        <v>14834</v>
      </c>
      <c r="D82" s="31">
        <v>6500</v>
      </c>
      <c r="E82" s="31"/>
      <c r="F82" s="31"/>
      <c r="G82" s="34">
        <f>'4.pielikums'!B91</f>
        <v>21334</v>
      </c>
      <c r="H82" s="13"/>
      <c r="I82" s="13"/>
    </row>
    <row r="83" spans="1:9" s="11" customFormat="1" ht="15.75" x14ac:dyDescent="0.25">
      <c r="A83" s="42"/>
      <c r="B83" s="103" t="s">
        <v>316</v>
      </c>
      <c r="C83" s="31">
        <v>1628</v>
      </c>
      <c r="D83" s="31"/>
      <c r="E83" s="31"/>
      <c r="F83" s="31"/>
      <c r="G83" s="34">
        <f>'4.pielikums'!B92</f>
        <v>1628</v>
      </c>
      <c r="H83" s="13"/>
      <c r="I83" s="13"/>
    </row>
    <row r="84" spans="1:9" s="11" customFormat="1" ht="31.5" x14ac:dyDescent="0.25">
      <c r="A84" s="42"/>
      <c r="B84" s="103" t="s">
        <v>315</v>
      </c>
      <c r="C84" s="31">
        <v>12478</v>
      </c>
      <c r="D84" s="31"/>
      <c r="E84" s="31">
        <v>252995</v>
      </c>
      <c r="F84" s="31"/>
      <c r="G84" s="34">
        <f>'4.pielikums'!B93</f>
        <v>265473</v>
      </c>
      <c r="H84" s="13"/>
      <c r="I84" s="13"/>
    </row>
    <row r="85" spans="1:9" s="11" customFormat="1" ht="47.25" x14ac:dyDescent="0.25">
      <c r="A85" s="42"/>
      <c r="B85" s="103" t="s">
        <v>476</v>
      </c>
      <c r="C85" s="31">
        <v>5053</v>
      </c>
      <c r="D85" s="31"/>
      <c r="E85" s="31"/>
      <c r="F85" s="31"/>
      <c r="G85" s="34">
        <f>'4.pielikums'!B103</f>
        <v>5053</v>
      </c>
      <c r="H85" s="13"/>
      <c r="I85" s="13"/>
    </row>
    <row r="86" spans="1:9" s="11" customFormat="1" ht="47.25" x14ac:dyDescent="0.25">
      <c r="A86" s="42"/>
      <c r="B86" s="103" t="s">
        <v>477</v>
      </c>
      <c r="C86" s="31">
        <v>6540</v>
      </c>
      <c r="D86" s="31"/>
      <c r="E86" s="31"/>
      <c r="F86" s="31"/>
      <c r="G86" s="34">
        <f>'4.pielikums'!B104</f>
        <v>6540</v>
      </c>
      <c r="H86" s="13"/>
      <c r="I86" s="13"/>
    </row>
    <row r="87" spans="1:9" s="11" customFormat="1" ht="47.25" customHeight="1" x14ac:dyDescent="0.25">
      <c r="A87" s="78"/>
      <c r="B87" s="32" t="s">
        <v>194</v>
      </c>
      <c r="C87" s="31"/>
      <c r="D87" s="31"/>
      <c r="E87" s="31"/>
      <c r="F87" s="31">
        <v>36209</v>
      </c>
      <c r="G87" s="34">
        <f>'4.pielikums'!B94</f>
        <v>36209</v>
      </c>
      <c r="H87" s="13"/>
      <c r="I87" s="13"/>
    </row>
    <row r="88" spans="1:9" s="11" customFormat="1" ht="37.5" customHeight="1" x14ac:dyDescent="0.25">
      <c r="A88" s="42"/>
      <c r="B88" s="32" t="s">
        <v>211</v>
      </c>
      <c r="C88" s="31">
        <v>93929</v>
      </c>
      <c r="D88" s="31"/>
      <c r="E88" s="31"/>
      <c r="F88" s="31"/>
      <c r="G88" s="34">
        <f>'4.pielikums'!B96</f>
        <v>93929</v>
      </c>
      <c r="H88" s="13"/>
      <c r="I88" s="13"/>
    </row>
    <row r="89" spans="1:9" s="11" customFormat="1" ht="31.5" x14ac:dyDescent="0.25">
      <c r="A89" s="42"/>
      <c r="B89" s="32" t="s">
        <v>212</v>
      </c>
      <c r="C89" s="31">
        <v>42300</v>
      </c>
      <c r="D89" s="31"/>
      <c r="E89" s="31"/>
      <c r="F89" s="31">
        <v>98699</v>
      </c>
      <c r="G89" s="34">
        <f>'4.pielikums'!B97</f>
        <v>140999</v>
      </c>
      <c r="H89" s="13"/>
      <c r="I89" s="13"/>
    </row>
    <row r="90" spans="1:9" s="11" customFormat="1" ht="31.5" x14ac:dyDescent="0.25">
      <c r="A90" s="39"/>
      <c r="B90" s="32" t="s">
        <v>196</v>
      </c>
      <c r="C90" s="31">
        <v>2832</v>
      </c>
      <c r="D90" s="31"/>
      <c r="E90" s="31"/>
      <c r="F90" s="31"/>
      <c r="G90" s="34">
        <f>'4.pielikums'!B95</f>
        <v>2832</v>
      </c>
      <c r="H90" s="13"/>
      <c r="I90" s="13"/>
    </row>
    <row r="91" spans="1:9" ht="38.25" customHeight="1" x14ac:dyDescent="0.25">
      <c r="A91" s="39"/>
      <c r="B91" s="32" t="s">
        <v>157</v>
      </c>
      <c r="C91" s="31">
        <v>3324</v>
      </c>
      <c r="D91" s="31"/>
      <c r="E91" s="31"/>
      <c r="F91" s="31"/>
      <c r="G91" s="34">
        <f>'4.pielikums'!B56</f>
        <v>3324</v>
      </c>
      <c r="H91" s="13"/>
      <c r="I91" s="13"/>
    </row>
    <row r="92" spans="1:9" ht="15.75" x14ac:dyDescent="0.25">
      <c r="A92" s="39"/>
      <c r="B92" s="32" t="s">
        <v>18</v>
      </c>
      <c r="C92" s="40">
        <f>G92</f>
        <v>66183</v>
      </c>
      <c r="D92" s="31"/>
      <c r="E92" s="31"/>
      <c r="F92" s="31"/>
      <c r="G92" s="34">
        <f>'4.pielikums'!B55</f>
        <v>66183</v>
      </c>
      <c r="H92" s="13"/>
      <c r="I92" s="13"/>
    </row>
    <row r="93" spans="1:9" s="11" customFormat="1" ht="31.5" x14ac:dyDescent="0.25">
      <c r="A93" s="39"/>
      <c r="B93" s="103" t="s">
        <v>321</v>
      </c>
      <c r="C93" s="31">
        <v>6470</v>
      </c>
      <c r="D93" s="31"/>
      <c r="E93" s="31"/>
      <c r="F93" s="31"/>
      <c r="G93" s="34">
        <f>'4.pielikums'!B60</f>
        <v>6470</v>
      </c>
      <c r="H93" s="13"/>
      <c r="I93" s="13"/>
    </row>
    <row r="94" spans="1:9" s="11" customFormat="1" ht="15.75" x14ac:dyDescent="0.25">
      <c r="A94" s="39"/>
      <c r="B94" s="103" t="s">
        <v>322</v>
      </c>
      <c r="C94" s="31">
        <v>16000</v>
      </c>
      <c r="D94" s="31"/>
      <c r="E94" s="31"/>
      <c r="F94" s="31"/>
      <c r="G94" s="34">
        <f>'4.pielikums'!B61</f>
        <v>16000</v>
      </c>
      <c r="H94" s="13"/>
      <c r="I94" s="13"/>
    </row>
    <row r="95" spans="1:9" s="11" customFormat="1" ht="15.75" x14ac:dyDescent="0.25">
      <c r="A95" s="39"/>
      <c r="B95" s="32" t="s">
        <v>324</v>
      </c>
      <c r="C95" s="40">
        <v>8000</v>
      </c>
      <c r="D95" s="31"/>
      <c r="E95" s="31"/>
      <c r="F95" s="31"/>
      <c r="G95" s="34">
        <f>'4.pielikums'!B62</f>
        <v>8000</v>
      </c>
      <c r="H95" s="13"/>
      <c r="I95" s="13"/>
    </row>
    <row r="96" spans="1:9" s="11" customFormat="1" ht="15.75" x14ac:dyDescent="0.25">
      <c r="A96" s="39"/>
      <c r="B96" s="32" t="s">
        <v>325</v>
      </c>
      <c r="C96" s="40">
        <v>5000</v>
      </c>
      <c r="D96" s="31"/>
      <c r="E96" s="31"/>
      <c r="F96" s="31"/>
      <c r="G96" s="34">
        <f>'4.pielikums'!B63</f>
        <v>5000</v>
      </c>
      <c r="H96" s="13"/>
      <c r="I96" s="13"/>
    </row>
    <row r="97" spans="1:9" s="11" customFormat="1" ht="31.5" x14ac:dyDescent="0.25">
      <c r="A97" s="39"/>
      <c r="B97" s="110" t="s">
        <v>323</v>
      </c>
      <c r="C97" s="40">
        <v>4710</v>
      </c>
      <c r="D97" s="31"/>
      <c r="E97" s="31"/>
      <c r="F97" s="31"/>
      <c r="G97" s="34">
        <f>'4.pielikums'!B64</f>
        <v>4710</v>
      </c>
      <c r="H97" s="13"/>
      <c r="I97" s="13"/>
    </row>
    <row r="98" spans="1:9" s="11" customFormat="1" ht="15.75" x14ac:dyDescent="0.25">
      <c r="A98" s="39"/>
      <c r="B98" s="103" t="s">
        <v>473</v>
      </c>
      <c r="C98" s="40">
        <f>G98</f>
        <v>3310</v>
      </c>
      <c r="D98" s="31"/>
      <c r="E98" s="31"/>
      <c r="F98" s="31"/>
      <c r="G98" s="34">
        <f>'4.pielikums'!B58</f>
        <v>3310</v>
      </c>
      <c r="H98" s="13"/>
      <c r="I98" s="13"/>
    </row>
    <row r="99" spans="1:9" s="11" customFormat="1" ht="15.75" x14ac:dyDescent="0.25">
      <c r="A99" s="39"/>
      <c r="B99" s="103" t="s">
        <v>474</v>
      </c>
      <c r="C99" s="40">
        <v>9152</v>
      </c>
      <c r="D99" s="31"/>
      <c r="E99" s="31"/>
      <c r="F99" s="31"/>
      <c r="G99" s="34">
        <f>'4.pielikums'!B59</f>
        <v>9152</v>
      </c>
      <c r="H99" s="13"/>
      <c r="I99" s="13"/>
    </row>
    <row r="100" spans="1:9" s="11" customFormat="1" ht="31.5" x14ac:dyDescent="0.25">
      <c r="A100" s="39"/>
      <c r="B100" s="110" t="s">
        <v>313</v>
      </c>
      <c r="C100" s="40">
        <v>9540</v>
      </c>
      <c r="D100" s="31"/>
      <c r="E100" s="31"/>
      <c r="F100" s="31"/>
      <c r="G100" s="34">
        <f>'4.pielikums'!B65</f>
        <v>9540</v>
      </c>
      <c r="H100" s="13"/>
      <c r="I100" s="13"/>
    </row>
    <row r="101" spans="1:9" s="11" customFormat="1" ht="31.5" x14ac:dyDescent="0.25">
      <c r="A101" s="39"/>
      <c r="B101" s="103" t="s">
        <v>475</v>
      </c>
      <c r="C101" s="40">
        <v>6000</v>
      </c>
      <c r="D101" s="31"/>
      <c r="E101" s="31"/>
      <c r="F101" s="31"/>
      <c r="G101" s="34">
        <f>'4.pielikums'!B66</f>
        <v>6000</v>
      </c>
      <c r="H101" s="13"/>
      <c r="I101" s="13"/>
    </row>
    <row r="102" spans="1:9" s="11" customFormat="1" ht="31.5" x14ac:dyDescent="0.25">
      <c r="A102" s="39"/>
      <c r="B102" s="103" t="s">
        <v>327</v>
      </c>
      <c r="C102" s="40">
        <v>1900</v>
      </c>
      <c r="D102" s="31"/>
      <c r="E102" s="31"/>
      <c r="F102" s="31"/>
      <c r="G102" s="34">
        <f>'4.pielikums'!B85</f>
        <v>1900</v>
      </c>
      <c r="H102" s="13"/>
      <c r="I102" s="13"/>
    </row>
    <row r="103" spans="1:9" s="11" customFormat="1" ht="31.5" x14ac:dyDescent="0.25">
      <c r="A103" s="39"/>
      <c r="B103" s="103" t="s">
        <v>490</v>
      </c>
      <c r="C103" s="40">
        <v>2508</v>
      </c>
      <c r="D103" s="31"/>
      <c r="E103" s="31"/>
      <c r="F103" s="31"/>
      <c r="G103" s="34">
        <f>'4.pielikums'!B87</f>
        <v>2508</v>
      </c>
      <c r="H103" s="13"/>
      <c r="I103" s="13"/>
    </row>
    <row r="104" spans="1:9" s="11" customFormat="1" ht="47.25" x14ac:dyDescent="0.25">
      <c r="A104" s="39"/>
      <c r="B104" s="103" t="s">
        <v>478</v>
      </c>
      <c r="C104" s="40">
        <v>15571</v>
      </c>
      <c r="D104" s="31"/>
      <c r="E104" s="31"/>
      <c r="F104" s="31"/>
      <c r="G104" s="34">
        <f>'4.pielikums'!B105</f>
        <v>15571</v>
      </c>
      <c r="H104" s="13"/>
      <c r="I104" s="13"/>
    </row>
    <row r="105" spans="1:9" s="11" customFormat="1" ht="98.25" customHeight="1" x14ac:dyDescent="0.25">
      <c r="A105" s="39"/>
      <c r="B105" s="32" t="s">
        <v>220</v>
      </c>
      <c r="C105" s="40">
        <v>2617</v>
      </c>
      <c r="D105" s="31"/>
      <c r="E105" s="31"/>
      <c r="F105" s="31"/>
      <c r="G105" s="34">
        <f>'4.pielikums'!B98</f>
        <v>2617</v>
      </c>
      <c r="H105" s="13"/>
      <c r="I105" s="13"/>
    </row>
    <row r="106" spans="1:9" s="11" customFormat="1" ht="33" customHeight="1" x14ac:dyDescent="0.25">
      <c r="B106" s="32" t="s">
        <v>171</v>
      </c>
      <c r="C106" s="40">
        <v>181784</v>
      </c>
      <c r="D106" s="31"/>
      <c r="E106" s="31"/>
      <c r="F106" s="31">
        <v>0</v>
      </c>
      <c r="G106" s="34">
        <f>'4.pielikums'!B99</f>
        <v>181784</v>
      </c>
      <c r="H106" s="13"/>
      <c r="I106" s="13"/>
    </row>
    <row r="107" spans="1:9" s="11" customFormat="1" ht="66" customHeight="1" x14ac:dyDescent="0.25">
      <c r="A107" s="39"/>
      <c r="B107" s="32" t="s">
        <v>172</v>
      </c>
      <c r="C107" s="40">
        <v>1283</v>
      </c>
      <c r="D107" s="31"/>
      <c r="E107" s="31">
        <v>80550</v>
      </c>
      <c r="F107" s="31">
        <f>166267+66217</f>
        <v>232484</v>
      </c>
      <c r="G107" s="34">
        <f>'4.pielikums'!B100</f>
        <v>314317</v>
      </c>
      <c r="H107" s="13"/>
      <c r="I107" s="13"/>
    </row>
    <row r="108" spans="1:9" s="11" customFormat="1" ht="53.25" customHeight="1" x14ac:dyDescent="0.25">
      <c r="A108" s="39"/>
      <c r="B108" s="32" t="s">
        <v>174</v>
      </c>
      <c r="C108" s="40">
        <v>11802</v>
      </c>
      <c r="D108" s="31"/>
      <c r="E108" s="31">
        <v>1455214</v>
      </c>
      <c r="F108" s="31">
        <f>1791964+231770</f>
        <v>2023734</v>
      </c>
      <c r="G108" s="34">
        <f>'4.pielikums'!B101</f>
        <v>3490750</v>
      </c>
      <c r="H108" s="13"/>
      <c r="I108" s="13"/>
    </row>
    <row r="109" spans="1:9" s="11" customFormat="1" ht="40.5" customHeight="1" x14ac:dyDescent="0.25">
      <c r="A109" s="39"/>
      <c r="B109" s="32" t="s">
        <v>511</v>
      </c>
      <c r="C109" s="40"/>
      <c r="D109" s="31"/>
      <c r="E109" s="31">
        <v>351198</v>
      </c>
      <c r="F109" s="31"/>
      <c r="G109" s="34">
        <f>'4.pielikums'!B407</f>
        <v>351198</v>
      </c>
      <c r="H109" s="13"/>
      <c r="I109" s="13"/>
    </row>
    <row r="110" spans="1:9" s="11" customFormat="1" ht="62.45" customHeight="1" x14ac:dyDescent="0.25">
      <c r="A110" s="39"/>
      <c r="B110" s="32" t="s">
        <v>175</v>
      </c>
      <c r="C110" s="40">
        <v>21483</v>
      </c>
      <c r="D110" s="31">
        <v>17799</v>
      </c>
      <c r="E110" s="31"/>
      <c r="F110" s="31"/>
      <c r="G110" s="34">
        <f>'4.pielikums'!B102</f>
        <v>39282</v>
      </c>
      <c r="H110" s="13"/>
      <c r="I110" s="13"/>
    </row>
    <row r="111" spans="1:9" s="11" customFormat="1" ht="21" customHeight="1" x14ac:dyDescent="0.25">
      <c r="A111" s="39"/>
      <c r="B111" s="32" t="s">
        <v>479</v>
      </c>
      <c r="C111" s="40">
        <v>13665</v>
      </c>
      <c r="D111" s="31"/>
      <c r="E111" s="31"/>
      <c r="F111" s="31"/>
      <c r="G111" s="34">
        <f>'4.pielikums'!B106</f>
        <v>13665</v>
      </c>
      <c r="H111" s="13"/>
      <c r="I111" s="13"/>
    </row>
    <row r="112" spans="1:9" s="11" customFormat="1" ht="37.5" customHeight="1" x14ac:dyDescent="0.25">
      <c r="A112" s="39"/>
      <c r="B112" s="32" t="s">
        <v>208</v>
      </c>
      <c r="C112" s="40">
        <v>9330</v>
      </c>
      <c r="D112" s="31"/>
      <c r="E112" s="31"/>
      <c r="F112" s="31">
        <v>146026</v>
      </c>
      <c r="G112" s="34">
        <f>'4.pielikums'!B107</f>
        <v>155356</v>
      </c>
      <c r="H112" s="13"/>
      <c r="I112" s="13"/>
    </row>
    <row r="113" spans="1:9" s="11" customFormat="1" ht="32.25" customHeight="1" x14ac:dyDescent="0.25">
      <c r="A113" s="41" t="s">
        <v>187</v>
      </c>
      <c r="B113" s="109" t="s">
        <v>188</v>
      </c>
      <c r="C113" s="33">
        <f>SUM(C114:C135)</f>
        <v>147815</v>
      </c>
      <c r="D113" s="33">
        <f t="shared" ref="D113:F113" si="3">SUM(D114:D135)</f>
        <v>50375</v>
      </c>
      <c r="E113" s="33">
        <f t="shared" si="3"/>
        <v>425606</v>
      </c>
      <c r="F113" s="33">
        <f t="shared" si="3"/>
        <v>761867</v>
      </c>
      <c r="G113" s="34">
        <f>SUM(G114:G135)</f>
        <v>1385663</v>
      </c>
      <c r="H113" s="13"/>
      <c r="I113" s="13"/>
    </row>
    <row r="114" spans="1:9" s="11" customFormat="1" ht="43.5" customHeight="1" x14ac:dyDescent="0.25">
      <c r="A114" s="39"/>
      <c r="B114" s="113" t="s">
        <v>189</v>
      </c>
      <c r="C114" s="40">
        <v>65500</v>
      </c>
      <c r="D114" s="31"/>
      <c r="E114" s="31"/>
      <c r="F114" s="31"/>
      <c r="G114" s="34">
        <f>'4.pielikums'!B109</f>
        <v>65500</v>
      </c>
      <c r="H114" s="13"/>
      <c r="I114" s="13"/>
    </row>
    <row r="115" spans="1:9" s="11" customFormat="1" ht="66" customHeight="1" x14ac:dyDescent="0.25">
      <c r="A115" s="39"/>
      <c r="B115" s="114" t="s">
        <v>190</v>
      </c>
      <c r="C115" s="40">
        <v>24008</v>
      </c>
      <c r="D115" s="31"/>
      <c r="E115" s="31"/>
      <c r="F115" s="31"/>
      <c r="G115" s="34">
        <f>'4.pielikums'!B110</f>
        <v>24008</v>
      </c>
      <c r="H115" s="13"/>
      <c r="I115" s="13"/>
    </row>
    <row r="116" spans="1:9" s="11" customFormat="1" ht="54.75" customHeight="1" x14ac:dyDescent="0.25">
      <c r="A116" s="39"/>
      <c r="B116" s="114" t="s">
        <v>213</v>
      </c>
      <c r="C116" s="40"/>
      <c r="D116" s="31"/>
      <c r="E116" s="31">
        <v>251241</v>
      </c>
      <c r="F116" s="31">
        <v>154531</v>
      </c>
      <c r="G116" s="34">
        <f>'4.pielikums'!B108</f>
        <v>405772</v>
      </c>
      <c r="H116" s="13"/>
      <c r="I116" s="13"/>
    </row>
    <row r="117" spans="1:9" s="11" customFormat="1" ht="54.75" customHeight="1" x14ac:dyDescent="0.25">
      <c r="A117" s="39"/>
      <c r="B117" s="114" t="s">
        <v>496</v>
      </c>
      <c r="C117" s="40"/>
      <c r="D117" s="31"/>
      <c r="E117" s="31"/>
      <c r="F117" s="31">
        <v>400000</v>
      </c>
      <c r="G117" s="34">
        <f>'4.pielikums'!B401</f>
        <v>400000</v>
      </c>
      <c r="H117" s="13"/>
      <c r="I117" s="13"/>
    </row>
    <row r="118" spans="1:9" s="11" customFormat="1" ht="38.25" customHeight="1" x14ac:dyDescent="0.25">
      <c r="A118" s="39"/>
      <c r="B118" s="83" t="s">
        <v>328</v>
      </c>
      <c r="C118" s="40">
        <v>712</v>
      </c>
      <c r="D118" s="31"/>
      <c r="E118" s="31"/>
      <c r="F118" s="31"/>
      <c r="G118" s="34">
        <f>'4.pielikums'!B111</f>
        <v>712</v>
      </c>
      <c r="H118" s="13"/>
      <c r="I118" s="13"/>
    </row>
    <row r="119" spans="1:9" s="11" customFormat="1" ht="37.5" customHeight="1" x14ac:dyDescent="0.25">
      <c r="A119" s="39"/>
      <c r="B119" s="84" t="s">
        <v>329</v>
      </c>
      <c r="C119" s="40">
        <v>6046</v>
      </c>
      <c r="D119" s="31"/>
      <c r="E119" s="31"/>
      <c r="F119" s="31"/>
      <c r="G119" s="34">
        <f>'4.pielikums'!B112</f>
        <v>6046</v>
      </c>
      <c r="H119" s="13"/>
      <c r="I119" s="13"/>
    </row>
    <row r="120" spans="1:9" s="11" customFormat="1" ht="29.25" customHeight="1" x14ac:dyDescent="0.25">
      <c r="A120" s="39"/>
      <c r="B120" s="84" t="s">
        <v>330</v>
      </c>
      <c r="C120" s="40">
        <v>7186</v>
      </c>
      <c r="D120" s="31"/>
      <c r="E120" s="31"/>
      <c r="F120" s="31"/>
      <c r="G120" s="34">
        <f>'4.pielikums'!B113</f>
        <v>7186</v>
      </c>
      <c r="H120" s="13"/>
      <c r="I120" s="13"/>
    </row>
    <row r="121" spans="1:9" s="11" customFormat="1" ht="29.25" customHeight="1" x14ac:dyDescent="0.25">
      <c r="A121" s="39"/>
      <c r="B121" s="83" t="s">
        <v>331</v>
      </c>
      <c r="C121" s="40">
        <v>35783</v>
      </c>
      <c r="D121" s="31"/>
      <c r="E121" s="31"/>
      <c r="F121" s="31"/>
      <c r="G121" s="34">
        <f>'4.pielikums'!B114</f>
        <v>35783</v>
      </c>
      <c r="H121" s="13"/>
      <c r="I121" s="13"/>
    </row>
    <row r="122" spans="1:9" s="11" customFormat="1" ht="29.25" customHeight="1" x14ac:dyDescent="0.25">
      <c r="A122" s="39"/>
      <c r="B122" s="83" t="s">
        <v>480</v>
      </c>
      <c r="C122" s="40"/>
      <c r="D122" s="31"/>
      <c r="E122" s="31">
        <v>5000</v>
      </c>
      <c r="F122" s="31"/>
      <c r="G122" s="34">
        <f>'4.pielikums'!B344</f>
        <v>5000</v>
      </c>
      <c r="H122" s="13"/>
      <c r="I122" s="13"/>
    </row>
    <row r="123" spans="1:9" s="11" customFormat="1" ht="35.25" customHeight="1" x14ac:dyDescent="0.25">
      <c r="A123" s="39"/>
      <c r="B123" s="83" t="s">
        <v>332</v>
      </c>
      <c r="C123" s="40">
        <v>3640</v>
      </c>
      <c r="D123" s="31">
        <v>3200</v>
      </c>
      <c r="E123" s="31"/>
      <c r="F123" s="31"/>
      <c r="G123" s="34">
        <f>'4.pielikums'!D115</f>
        <v>6840</v>
      </c>
      <c r="H123" s="13"/>
      <c r="I123" s="13"/>
    </row>
    <row r="124" spans="1:9" s="11" customFormat="1" ht="35.25" customHeight="1" x14ac:dyDescent="0.25">
      <c r="A124" s="39"/>
      <c r="B124" s="83" t="s">
        <v>333</v>
      </c>
      <c r="C124" s="40"/>
      <c r="D124" s="31">
        <v>7858</v>
      </c>
      <c r="E124" s="31"/>
      <c r="F124" s="31"/>
      <c r="G124" s="34">
        <f>'4.pielikums'!D116</f>
        <v>7858</v>
      </c>
      <c r="H124" s="13"/>
      <c r="I124" s="13"/>
    </row>
    <row r="125" spans="1:9" s="11" customFormat="1" ht="29.25" customHeight="1" x14ac:dyDescent="0.25">
      <c r="A125" s="39"/>
      <c r="B125" s="83" t="s">
        <v>334</v>
      </c>
      <c r="C125" s="40">
        <v>2566</v>
      </c>
      <c r="D125" s="31"/>
      <c r="E125" s="31"/>
      <c r="F125" s="31"/>
      <c r="G125" s="34">
        <f>'4.pielikums'!B117</f>
        <v>2566</v>
      </c>
      <c r="H125" s="13"/>
      <c r="I125" s="13"/>
    </row>
    <row r="126" spans="1:9" s="11" customFormat="1" ht="29.25" customHeight="1" x14ac:dyDescent="0.25">
      <c r="A126" s="39"/>
      <c r="B126" s="103" t="s">
        <v>343</v>
      </c>
      <c r="C126" s="40"/>
      <c r="D126" s="31"/>
      <c r="E126" s="31">
        <v>12365</v>
      </c>
      <c r="F126" s="31"/>
      <c r="G126" s="34">
        <f>'4.pielikums'!B118</f>
        <v>12365</v>
      </c>
      <c r="H126" s="13"/>
      <c r="I126" s="13"/>
    </row>
    <row r="127" spans="1:9" s="11" customFormat="1" ht="29.25" customHeight="1" x14ac:dyDescent="0.25">
      <c r="A127" s="39"/>
      <c r="B127" s="103" t="s">
        <v>342</v>
      </c>
      <c r="C127" s="40"/>
      <c r="D127" s="31">
        <v>6046</v>
      </c>
      <c r="E127" s="31"/>
      <c r="F127" s="31"/>
      <c r="G127" s="34">
        <f>'4.pielikums'!B119</f>
        <v>6046</v>
      </c>
      <c r="H127" s="13"/>
      <c r="I127" s="13"/>
    </row>
    <row r="128" spans="1:9" s="11" customFormat="1" ht="29.25" customHeight="1" x14ac:dyDescent="0.25">
      <c r="A128" s="39"/>
      <c r="B128" s="103" t="s">
        <v>341</v>
      </c>
      <c r="C128" s="40">
        <f>G128-D128-E128-F128</f>
        <v>357</v>
      </c>
      <c r="D128" s="31">
        <v>2344</v>
      </c>
      <c r="E128" s="31"/>
      <c r="F128" s="31"/>
      <c r="G128" s="34">
        <f>'4.pielikums'!B120</f>
        <v>2701</v>
      </c>
      <c r="H128" s="13"/>
      <c r="I128" s="13"/>
    </row>
    <row r="129" spans="1:9" s="11" customFormat="1" ht="29.25" customHeight="1" x14ac:dyDescent="0.25">
      <c r="A129" s="39"/>
      <c r="B129" s="103" t="s">
        <v>340</v>
      </c>
      <c r="C129" s="40"/>
      <c r="D129" s="31">
        <v>3575</v>
      </c>
      <c r="E129" s="31"/>
      <c r="F129" s="31"/>
      <c r="G129" s="34">
        <f>'4.pielikums'!B121</f>
        <v>3575</v>
      </c>
      <c r="H129" s="13"/>
      <c r="I129" s="13"/>
    </row>
    <row r="130" spans="1:9" s="11" customFormat="1" ht="29.25" customHeight="1" x14ac:dyDescent="0.25">
      <c r="A130" s="39"/>
      <c r="B130" s="103" t="s">
        <v>339</v>
      </c>
      <c r="C130" s="40"/>
      <c r="D130" s="31">
        <v>1179</v>
      </c>
      <c r="E130" s="31"/>
      <c r="F130" s="31"/>
      <c r="G130" s="34">
        <f>'4.pielikums'!B122</f>
        <v>1179</v>
      </c>
      <c r="H130" s="13"/>
      <c r="I130" s="13"/>
    </row>
    <row r="131" spans="1:9" s="11" customFormat="1" ht="29.25" customHeight="1" x14ac:dyDescent="0.25">
      <c r="A131" s="39"/>
      <c r="B131" s="103" t="s">
        <v>338</v>
      </c>
      <c r="C131" s="40">
        <v>385</v>
      </c>
      <c r="D131" s="31">
        <v>309</v>
      </c>
      <c r="E131" s="31"/>
      <c r="F131" s="31"/>
      <c r="G131" s="34">
        <f>'4.pielikums'!B123</f>
        <v>694</v>
      </c>
      <c r="H131" s="13"/>
      <c r="I131" s="13"/>
    </row>
    <row r="132" spans="1:9" s="11" customFormat="1" ht="29.25" customHeight="1" x14ac:dyDescent="0.25">
      <c r="A132" s="39"/>
      <c r="B132" s="103" t="s">
        <v>337</v>
      </c>
      <c r="C132" s="40">
        <v>1632</v>
      </c>
      <c r="D132" s="31">
        <v>4993</v>
      </c>
      <c r="E132" s="31"/>
      <c r="F132" s="31"/>
      <c r="G132" s="34">
        <f>'4.pielikums'!B124</f>
        <v>6625</v>
      </c>
      <c r="H132" s="13"/>
      <c r="I132" s="13"/>
    </row>
    <row r="133" spans="1:9" s="11" customFormat="1" ht="29.25" customHeight="1" x14ac:dyDescent="0.25">
      <c r="A133" s="39"/>
      <c r="B133" s="103" t="s">
        <v>336</v>
      </c>
      <c r="C133" s="40"/>
      <c r="D133" s="31">
        <v>17871</v>
      </c>
      <c r="E133" s="31"/>
      <c r="F133" s="31"/>
      <c r="G133" s="34">
        <f>'4.pielikums'!B125</f>
        <v>17871</v>
      </c>
      <c r="H133" s="13"/>
      <c r="I133" s="13"/>
    </row>
    <row r="134" spans="1:9" s="11" customFormat="1" ht="48.75" customHeight="1" x14ac:dyDescent="0.25">
      <c r="A134" s="39"/>
      <c r="B134" s="103" t="s">
        <v>335</v>
      </c>
      <c r="C134" s="40"/>
      <c r="D134" s="31">
        <v>3000</v>
      </c>
      <c r="E134" s="31"/>
      <c r="F134" s="31"/>
      <c r="G134" s="34">
        <f>'4.pielikums'!B126</f>
        <v>3000</v>
      </c>
      <c r="H134" s="13"/>
      <c r="I134" s="13"/>
    </row>
    <row r="135" spans="1:9" s="11" customFormat="1" ht="51.75" customHeight="1" x14ac:dyDescent="0.25">
      <c r="A135" s="39"/>
      <c r="B135" s="103" t="s">
        <v>504</v>
      </c>
      <c r="C135" s="40"/>
      <c r="D135" s="31"/>
      <c r="E135" s="31">
        <v>157000</v>
      </c>
      <c r="F135" s="31">
        <v>207336</v>
      </c>
      <c r="G135" s="34">
        <f>'4.pielikums'!B402</f>
        <v>364336</v>
      </c>
      <c r="H135" s="13"/>
      <c r="I135" s="13"/>
    </row>
    <row r="136" spans="1:9" ht="31.5" x14ac:dyDescent="0.25">
      <c r="A136" s="43" t="s">
        <v>84</v>
      </c>
      <c r="B136" s="109" t="s">
        <v>85</v>
      </c>
      <c r="C136" s="33">
        <f>C137+C139</f>
        <v>2225888</v>
      </c>
      <c r="D136" s="33">
        <f>D137+D139</f>
        <v>1648069</v>
      </c>
      <c r="E136" s="33">
        <f>E137+E139</f>
        <v>38151</v>
      </c>
      <c r="F136" s="33">
        <f>F137+F139</f>
        <v>32023</v>
      </c>
      <c r="G136" s="34">
        <f>G137+G139</f>
        <v>3944131</v>
      </c>
      <c r="H136" s="13"/>
      <c r="I136" s="13"/>
    </row>
    <row r="137" spans="1:9" ht="15.75" x14ac:dyDescent="0.25">
      <c r="A137" s="41"/>
      <c r="B137" s="30" t="s">
        <v>86</v>
      </c>
      <c r="C137" s="33">
        <f>SUM(C138:C138)</f>
        <v>166093</v>
      </c>
      <c r="D137" s="33">
        <f>SUM(D138:D138)</f>
        <v>0</v>
      </c>
      <c r="E137" s="33">
        <f>SUM(E138:E138)</f>
        <v>0</v>
      </c>
      <c r="F137" s="33">
        <f>SUM(F138:F138)</f>
        <v>0</v>
      </c>
      <c r="G137" s="41">
        <f>SUM(G138:G138)</f>
        <v>166093</v>
      </c>
      <c r="H137" s="13"/>
      <c r="I137" s="13"/>
    </row>
    <row r="138" spans="1:9" ht="15.75" x14ac:dyDescent="0.25">
      <c r="A138" s="39"/>
      <c r="B138" s="31" t="s">
        <v>19</v>
      </c>
      <c r="C138" s="31">
        <v>166093</v>
      </c>
      <c r="D138" s="31"/>
      <c r="E138" s="31"/>
      <c r="F138" s="31"/>
      <c r="G138" s="34">
        <f>'4.pielikums'!B127</f>
        <v>166093</v>
      </c>
      <c r="H138" s="13"/>
      <c r="I138" s="13"/>
    </row>
    <row r="139" spans="1:9" ht="47.25" x14ac:dyDescent="0.25">
      <c r="A139" s="43"/>
      <c r="B139" s="109" t="s">
        <v>87</v>
      </c>
      <c r="C139" s="33">
        <f>SUM(C140:C200)</f>
        <v>2059795</v>
      </c>
      <c r="D139" s="33">
        <f t="shared" ref="D139:G139" si="4">SUM(D140:D200)</f>
        <v>1648069</v>
      </c>
      <c r="E139" s="33">
        <f t="shared" si="4"/>
        <v>38151</v>
      </c>
      <c r="F139" s="33">
        <f t="shared" si="4"/>
        <v>32023</v>
      </c>
      <c r="G139" s="34">
        <f t="shared" si="4"/>
        <v>3778038</v>
      </c>
      <c r="H139" s="13"/>
      <c r="I139" s="13"/>
    </row>
    <row r="140" spans="1:9" ht="15.75" x14ac:dyDescent="0.25">
      <c r="A140" s="38"/>
      <c r="B140" s="32" t="s">
        <v>20</v>
      </c>
      <c r="C140" s="40">
        <f>G140-D140-E140-F140</f>
        <v>129940</v>
      </c>
      <c r="D140" s="31"/>
      <c r="E140" s="31"/>
      <c r="F140" s="31"/>
      <c r="G140" s="34">
        <f>'4.pielikums'!B128</f>
        <v>129940</v>
      </c>
      <c r="H140" s="13"/>
      <c r="I140" s="13"/>
    </row>
    <row r="141" spans="1:9" ht="38.25" customHeight="1" x14ac:dyDescent="0.25">
      <c r="A141" s="39"/>
      <c r="B141" s="83" t="s">
        <v>21</v>
      </c>
      <c r="C141" s="40">
        <f>16727+1150</f>
        <v>17877</v>
      </c>
      <c r="D141" s="31">
        <v>2300</v>
      </c>
      <c r="E141" s="31"/>
      <c r="F141" s="31"/>
      <c r="G141" s="34">
        <f>'4.pielikums'!B129</f>
        <v>20177</v>
      </c>
      <c r="H141" s="13"/>
      <c r="I141" s="13"/>
    </row>
    <row r="142" spans="1:9" ht="31.5" x14ac:dyDescent="0.25">
      <c r="A142" s="39"/>
      <c r="B142" s="83" t="s">
        <v>88</v>
      </c>
      <c r="C142" s="40">
        <f>G142-D142-E142-F142</f>
        <v>67147</v>
      </c>
      <c r="D142" s="31">
        <v>6200</v>
      </c>
      <c r="E142" s="31"/>
      <c r="F142" s="31"/>
      <c r="G142" s="34">
        <f>'4.pielikums'!B130</f>
        <v>73347</v>
      </c>
      <c r="H142" s="13"/>
      <c r="I142" s="13"/>
    </row>
    <row r="143" spans="1:9" ht="31.5" x14ac:dyDescent="0.25">
      <c r="A143" s="39"/>
      <c r="B143" s="83" t="s">
        <v>23</v>
      </c>
      <c r="C143" s="40">
        <f>28612+211</f>
        <v>28823</v>
      </c>
      <c r="D143" s="31">
        <v>9445</v>
      </c>
      <c r="E143" s="31"/>
      <c r="F143" s="31"/>
      <c r="G143" s="34">
        <f>'4.pielikums'!B131</f>
        <v>38268</v>
      </c>
      <c r="H143" s="13"/>
      <c r="I143" s="13"/>
    </row>
    <row r="144" spans="1:9" ht="31.5" x14ac:dyDescent="0.25">
      <c r="A144" s="39"/>
      <c r="B144" s="83" t="s">
        <v>24</v>
      </c>
      <c r="C144" s="40">
        <f>G144-D144-E144-F144</f>
        <v>50870</v>
      </c>
      <c r="D144" s="31">
        <v>7500</v>
      </c>
      <c r="E144" s="31"/>
      <c r="F144" s="31"/>
      <c r="G144" s="34">
        <f>'4.pielikums'!B132</f>
        <v>58370</v>
      </c>
      <c r="H144" s="13"/>
      <c r="I144" s="13"/>
    </row>
    <row r="145" spans="1:9" ht="31.5" x14ac:dyDescent="0.25">
      <c r="A145" s="39"/>
      <c r="B145" s="83" t="s">
        <v>25</v>
      </c>
      <c r="C145" s="40">
        <f t="shared" ref="C145:C200" si="5">G145-D145-E145-F145</f>
        <v>74940</v>
      </c>
      <c r="D145" s="31">
        <v>19550</v>
      </c>
      <c r="E145" s="31"/>
      <c r="F145" s="31"/>
      <c r="G145" s="34">
        <f>'4.pielikums'!B133</f>
        <v>94490</v>
      </c>
      <c r="H145" s="13"/>
      <c r="I145" s="13"/>
    </row>
    <row r="146" spans="1:9" ht="35.25" customHeight="1" x14ac:dyDescent="0.25">
      <c r="A146" s="39"/>
      <c r="B146" s="83" t="s">
        <v>26</v>
      </c>
      <c r="C146" s="40">
        <f t="shared" si="5"/>
        <v>58728</v>
      </c>
      <c r="D146" s="31">
        <v>11060</v>
      </c>
      <c r="E146" s="31"/>
      <c r="F146" s="31"/>
      <c r="G146" s="34">
        <f>'4.pielikums'!B134</f>
        <v>69788</v>
      </c>
      <c r="H146" s="13"/>
      <c r="I146" s="13"/>
    </row>
    <row r="147" spans="1:9" ht="31.5" x14ac:dyDescent="0.25">
      <c r="A147" s="39"/>
      <c r="B147" s="83" t="s">
        <v>27</v>
      </c>
      <c r="C147" s="40">
        <f>G147-D147-E147-F147</f>
        <v>57994</v>
      </c>
      <c r="D147" s="31">
        <v>2540</v>
      </c>
      <c r="E147" s="31"/>
      <c r="F147" s="31"/>
      <c r="G147" s="34">
        <f>'4.pielikums'!B135</f>
        <v>60534</v>
      </c>
      <c r="H147" s="13"/>
      <c r="I147" s="13"/>
    </row>
    <row r="148" spans="1:9" ht="34.5" customHeight="1" x14ac:dyDescent="0.25">
      <c r="A148" s="39"/>
      <c r="B148" s="83" t="s">
        <v>28</v>
      </c>
      <c r="C148" s="40">
        <f t="shared" si="5"/>
        <v>102432</v>
      </c>
      <c r="D148" s="31">
        <v>58131</v>
      </c>
      <c r="E148" s="31"/>
      <c r="F148" s="31"/>
      <c r="G148" s="34">
        <f>'4.pielikums'!B136</f>
        <v>160563</v>
      </c>
      <c r="H148" s="13"/>
      <c r="I148" s="13"/>
    </row>
    <row r="149" spans="1:9" ht="31.5" x14ac:dyDescent="0.25">
      <c r="A149" s="39"/>
      <c r="B149" s="83" t="s">
        <v>29</v>
      </c>
      <c r="C149" s="40">
        <f t="shared" si="5"/>
        <v>47673</v>
      </c>
      <c r="D149" s="31">
        <v>1834</v>
      </c>
      <c r="E149" s="31"/>
      <c r="F149" s="31"/>
      <c r="G149" s="34">
        <f>'4.pielikums'!B137</f>
        <v>49507</v>
      </c>
      <c r="H149" s="13"/>
      <c r="I149" s="13"/>
    </row>
    <row r="150" spans="1:9" ht="31.5" x14ac:dyDescent="0.25">
      <c r="A150" s="39"/>
      <c r="B150" s="83" t="s">
        <v>30</v>
      </c>
      <c r="C150" s="40">
        <f>G150-D150-E150-F150</f>
        <v>69278</v>
      </c>
      <c r="D150" s="31">
        <v>6570</v>
      </c>
      <c r="E150" s="31"/>
      <c r="F150" s="31"/>
      <c r="G150" s="34">
        <f>'4.pielikums'!B138</f>
        <v>75848</v>
      </c>
      <c r="H150" s="13"/>
      <c r="I150" s="13"/>
    </row>
    <row r="151" spans="1:9" ht="15.75" x14ac:dyDescent="0.25">
      <c r="A151" s="39"/>
      <c r="B151" s="31" t="s">
        <v>132</v>
      </c>
      <c r="C151" s="40">
        <f t="shared" si="5"/>
        <v>276000</v>
      </c>
      <c r="D151" s="31">
        <f>1169772+39346</f>
        <v>1209118</v>
      </c>
      <c r="E151" s="31"/>
      <c r="F151" s="31"/>
      <c r="G151" s="34">
        <f>'4.pielikums'!B139</f>
        <v>1485118</v>
      </c>
      <c r="H151" s="13"/>
      <c r="I151" s="13"/>
    </row>
    <row r="152" spans="1:9" s="11" customFormat="1" ht="52.5" customHeight="1" x14ac:dyDescent="0.25">
      <c r="A152" s="39"/>
      <c r="B152" s="32" t="s">
        <v>217</v>
      </c>
      <c r="C152" s="40">
        <f t="shared" si="5"/>
        <v>0</v>
      </c>
      <c r="D152" s="31"/>
      <c r="E152" s="31">
        <v>23491</v>
      </c>
      <c r="F152" s="31">
        <v>32023</v>
      </c>
      <c r="G152" s="34">
        <f>'4.pielikums'!B141</f>
        <v>55514</v>
      </c>
      <c r="H152" s="13"/>
      <c r="I152" s="13"/>
    </row>
    <row r="153" spans="1:9" s="11" customFormat="1" ht="78.75" x14ac:dyDescent="0.25">
      <c r="A153" s="39"/>
      <c r="B153" s="32" t="s">
        <v>170</v>
      </c>
      <c r="C153" s="40">
        <f t="shared" si="5"/>
        <v>6370</v>
      </c>
      <c r="D153" s="31">
        <v>40097</v>
      </c>
      <c r="E153" s="31"/>
      <c r="F153" s="31">
        <v>0</v>
      </c>
      <c r="G153" s="34">
        <f>'4.pielikums'!B142</f>
        <v>46467</v>
      </c>
      <c r="H153" s="13"/>
      <c r="I153" s="13"/>
    </row>
    <row r="154" spans="1:9" s="11" customFormat="1" ht="15.75" x14ac:dyDescent="0.25">
      <c r="A154" s="39"/>
      <c r="B154" s="32" t="s">
        <v>364</v>
      </c>
      <c r="C154" s="40">
        <f t="shared" si="5"/>
        <v>3169</v>
      </c>
      <c r="D154" s="31"/>
      <c r="E154" s="31">
        <v>14660</v>
      </c>
      <c r="F154" s="31"/>
      <c r="G154" s="34">
        <f>'4.pielikums'!B189</f>
        <v>17829</v>
      </c>
      <c r="H154" s="13"/>
      <c r="I154" s="13"/>
    </row>
    <row r="155" spans="1:9" s="11" customFormat="1" ht="15.75" x14ac:dyDescent="0.25">
      <c r="A155" s="39"/>
      <c r="B155" s="84" t="s">
        <v>359</v>
      </c>
      <c r="C155" s="40">
        <f t="shared" si="5"/>
        <v>2375</v>
      </c>
      <c r="D155" s="31"/>
      <c r="E155" s="31"/>
      <c r="F155" s="31"/>
      <c r="G155" s="34">
        <f>'4.pielikums'!B143</f>
        <v>2375</v>
      </c>
      <c r="H155" s="13"/>
      <c r="I155" s="13"/>
    </row>
    <row r="156" spans="1:9" s="11" customFormat="1" ht="15.75" x14ac:dyDescent="0.25">
      <c r="A156" s="39"/>
      <c r="B156" s="84" t="s">
        <v>360</v>
      </c>
      <c r="C156" s="40">
        <f t="shared" si="5"/>
        <v>10594</v>
      </c>
      <c r="D156" s="31"/>
      <c r="E156" s="31"/>
      <c r="F156" s="31"/>
      <c r="G156" s="34">
        <f>'4.pielikums'!B144</f>
        <v>10594</v>
      </c>
      <c r="H156" s="13"/>
      <c r="I156" s="13"/>
    </row>
    <row r="157" spans="1:9" s="11" customFormat="1" ht="15.75" x14ac:dyDescent="0.25">
      <c r="A157" s="39"/>
      <c r="B157" s="84" t="s">
        <v>361</v>
      </c>
      <c r="C157" s="40">
        <f t="shared" si="5"/>
        <v>3550</v>
      </c>
      <c r="D157" s="31"/>
      <c r="E157" s="31"/>
      <c r="F157" s="31"/>
      <c r="G157" s="34">
        <f>'4.pielikums'!B145</f>
        <v>3550</v>
      </c>
      <c r="H157" s="13"/>
      <c r="I157" s="13"/>
    </row>
    <row r="158" spans="1:9" s="11" customFormat="1" ht="15.75" x14ac:dyDescent="0.25">
      <c r="A158" s="39"/>
      <c r="B158" s="103" t="s">
        <v>276</v>
      </c>
      <c r="C158" s="40">
        <f t="shared" si="5"/>
        <v>385</v>
      </c>
      <c r="D158" s="31">
        <v>1029</v>
      </c>
      <c r="E158" s="31"/>
      <c r="F158" s="31"/>
      <c r="G158" s="34">
        <f>'4.pielikums'!B146</f>
        <v>1414</v>
      </c>
      <c r="H158" s="13"/>
      <c r="I158" s="13"/>
    </row>
    <row r="159" spans="1:9" s="11" customFormat="1" ht="31.5" x14ac:dyDescent="0.25">
      <c r="A159" s="39"/>
      <c r="B159" s="103" t="s">
        <v>275</v>
      </c>
      <c r="C159" s="40">
        <f t="shared" si="5"/>
        <v>-385</v>
      </c>
      <c r="D159" s="31">
        <v>800</v>
      </c>
      <c r="E159" s="31"/>
      <c r="F159" s="31"/>
      <c r="G159" s="34">
        <f>'4.pielikums'!B147</f>
        <v>415</v>
      </c>
      <c r="H159" s="13"/>
      <c r="I159" s="13"/>
    </row>
    <row r="160" spans="1:9" s="11" customFormat="1" ht="15.75" x14ac:dyDescent="0.25">
      <c r="A160" s="39"/>
      <c r="B160" s="103" t="s">
        <v>274</v>
      </c>
      <c r="C160" s="40">
        <v>3499</v>
      </c>
      <c r="D160" s="31">
        <v>3810</v>
      </c>
      <c r="E160" s="31"/>
      <c r="F160" s="31"/>
      <c r="G160" s="34">
        <f>'4.pielikums'!B148</f>
        <v>7309</v>
      </c>
      <c r="H160" s="13"/>
      <c r="I160" s="13"/>
    </row>
    <row r="161" spans="1:9" s="11" customFormat="1" ht="15.75" x14ac:dyDescent="0.25">
      <c r="A161" s="39"/>
      <c r="B161" s="103" t="s">
        <v>273</v>
      </c>
      <c r="C161" s="40">
        <f t="shared" si="5"/>
        <v>299953</v>
      </c>
      <c r="D161" s="31">
        <v>5294</v>
      </c>
      <c r="E161" s="31"/>
      <c r="F161" s="31"/>
      <c r="G161" s="34">
        <f>'4.pielikums'!B149</f>
        <v>305247</v>
      </c>
      <c r="H161" s="13"/>
      <c r="I161" s="13"/>
    </row>
    <row r="162" spans="1:9" s="11" customFormat="1" ht="31.5" x14ac:dyDescent="0.25">
      <c r="A162" s="39"/>
      <c r="B162" s="103" t="s">
        <v>272</v>
      </c>
      <c r="C162" s="40">
        <f t="shared" si="5"/>
        <v>0</v>
      </c>
      <c r="D162" s="31">
        <v>2066</v>
      </c>
      <c r="E162" s="31"/>
      <c r="F162" s="31"/>
      <c r="G162" s="34">
        <f>'4.pielikums'!B150</f>
        <v>2066</v>
      </c>
      <c r="H162" s="13"/>
      <c r="I162" s="13"/>
    </row>
    <row r="163" spans="1:9" s="11" customFormat="1" ht="15.75" x14ac:dyDescent="0.25">
      <c r="A163" s="39"/>
      <c r="B163" s="103" t="s">
        <v>271</v>
      </c>
      <c r="C163" s="40">
        <f t="shared" si="5"/>
        <v>6017</v>
      </c>
      <c r="D163" s="31">
        <v>44730</v>
      </c>
      <c r="E163" s="31"/>
      <c r="F163" s="31"/>
      <c r="G163" s="34">
        <f>'4.pielikums'!B151</f>
        <v>50747</v>
      </c>
      <c r="H163" s="13"/>
      <c r="I163" s="13"/>
    </row>
    <row r="164" spans="1:9" s="11" customFormat="1" ht="31.5" x14ac:dyDescent="0.25">
      <c r="A164" s="39"/>
      <c r="B164" s="103" t="s">
        <v>270</v>
      </c>
      <c r="C164" s="40">
        <f t="shared" si="5"/>
        <v>1411</v>
      </c>
      <c r="D164" s="31"/>
      <c r="E164" s="31"/>
      <c r="F164" s="31"/>
      <c r="G164" s="34">
        <f>'4.pielikums'!B152</f>
        <v>1411</v>
      </c>
      <c r="H164" s="13"/>
      <c r="I164" s="13"/>
    </row>
    <row r="165" spans="1:9" s="11" customFormat="1" ht="31.5" x14ac:dyDescent="0.25">
      <c r="A165" s="39"/>
      <c r="B165" s="103" t="s">
        <v>269</v>
      </c>
      <c r="C165" s="40">
        <f t="shared" si="5"/>
        <v>0</v>
      </c>
      <c r="D165" s="31">
        <v>2402</v>
      </c>
      <c r="E165" s="31"/>
      <c r="F165" s="31"/>
      <c r="G165" s="34">
        <f>'4.pielikums'!B153</f>
        <v>2402</v>
      </c>
      <c r="H165" s="13"/>
      <c r="I165" s="13"/>
    </row>
    <row r="166" spans="1:9" s="11" customFormat="1" ht="31.5" x14ac:dyDescent="0.25">
      <c r="A166" s="39"/>
      <c r="B166" s="103" t="s">
        <v>268</v>
      </c>
      <c r="C166" s="40">
        <f t="shared" si="5"/>
        <v>0</v>
      </c>
      <c r="D166" s="31">
        <v>2155</v>
      </c>
      <c r="E166" s="31"/>
      <c r="F166" s="31"/>
      <c r="G166" s="34">
        <f>'4.pielikums'!B154</f>
        <v>2155</v>
      </c>
      <c r="H166" s="13"/>
      <c r="I166" s="13"/>
    </row>
    <row r="167" spans="1:9" s="11" customFormat="1" ht="15.75" x14ac:dyDescent="0.25">
      <c r="A167" s="39"/>
      <c r="B167" s="103" t="s">
        <v>267</v>
      </c>
      <c r="C167" s="40">
        <f t="shared" si="5"/>
        <v>0</v>
      </c>
      <c r="D167" s="31">
        <v>800</v>
      </c>
      <c r="E167" s="31"/>
      <c r="F167" s="31"/>
      <c r="G167" s="34">
        <f>'4.pielikums'!B155</f>
        <v>800</v>
      </c>
      <c r="H167" s="13"/>
      <c r="I167" s="13"/>
    </row>
    <row r="168" spans="1:9" s="11" customFormat="1" ht="15.75" x14ac:dyDescent="0.25">
      <c r="A168" s="39"/>
      <c r="B168" s="103" t="s">
        <v>266</v>
      </c>
      <c r="C168" s="40">
        <f t="shared" si="5"/>
        <v>2520</v>
      </c>
      <c r="D168" s="31"/>
      <c r="E168" s="31"/>
      <c r="F168" s="31"/>
      <c r="G168" s="34">
        <f>'4.pielikums'!B156</f>
        <v>2520</v>
      </c>
      <c r="H168" s="13"/>
      <c r="I168" s="13"/>
    </row>
    <row r="169" spans="1:9" s="11" customFormat="1" ht="15.75" x14ac:dyDescent="0.25">
      <c r="A169" s="39"/>
      <c r="B169" s="103" t="s">
        <v>265</v>
      </c>
      <c r="C169" s="40">
        <f t="shared" si="5"/>
        <v>1746</v>
      </c>
      <c r="D169" s="31">
        <v>435</v>
      </c>
      <c r="E169" s="31"/>
      <c r="F169" s="31"/>
      <c r="G169" s="34">
        <f>'4.pielikums'!B157</f>
        <v>2181</v>
      </c>
      <c r="H169" s="13"/>
      <c r="I169" s="13"/>
    </row>
    <row r="170" spans="1:9" s="11" customFormat="1" ht="29.25" customHeight="1" x14ac:dyDescent="0.25">
      <c r="A170" s="39"/>
      <c r="B170" s="103" t="s">
        <v>264</v>
      </c>
      <c r="C170" s="40">
        <f t="shared" si="5"/>
        <v>0</v>
      </c>
      <c r="D170" s="31">
        <v>2927</v>
      </c>
      <c r="E170" s="31"/>
      <c r="F170" s="31"/>
      <c r="G170" s="34">
        <f>'4.pielikums'!B158</f>
        <v>2927</v>
      </c>
      <c r="H170" s="13"/>
      <c r="I170" s="13"/>
    </row>
    <row r="171" spans="1:9" s="11" customFormat="1" ht="31.5" x14ac:dyDescent="0.25">
      <c r="A171" s="39"/>
      <c r="B171" s="103" t="s">
        <v>263</v>
      </c>
      <c r="C171" s="40">
        <f t="shared" si="5"/>
        <v>20507</v>
      </c>
      <c r="D171" s="31">
        <v>75</v>
      </c>
      <c r="E171" s="31"/>
      <c r="F171" s="31"/>
      <c r="G171" s="34">
        <f>'4.pielikums'!B159</f>
        <v>20582</v>
      </c>
      <c r="H171" s="13"/>
      <c r="I171" s="13"/>
    </row>
    <row r="172" spans="1:9" s="11" customFormat="1" ht="31.5" x14ac:dyDescent="0.25">
      <c r="A172" s="39"/>
      <c r="B172" s="103" t="s">
        <v>262</v>
      </c>
      <c r="C172" s="40">
        <f t="shared" si="5"/>
        <v>0</v>
      </c>
      <c r="D172" s="31">
        <v>2916</v>
      </c>
      <c r="E172" s="31"/>
      <c r="F172" s="31"/>
      <c r="G172" s="34">
        <f>'4.pielikums'!B160</f>
        <v>2916</v>
      </c>
      <c r="H172" s="13"/>
      <c r="I172" s="13"/>
    </row>
    <row r="173" spans="1:9" s="11" customFormat="1" ht="31.5" x14ac:dyDescent="0.25">
      <c r="A173" s="39"/>
      <c r="B173" s="103" t="s">
        <v>261</v>
      </c>
      <c r="C173" s="40">
        <f t="shared" si="5"/>
        <v>82797</v>
      </c>
      <c r="D173" s="31"/>
      <c r="E173" s="31"/>
      <c r="F173" s="31"/>
      <c r="G173" s="34">
        <f>'4.pielikums'!B161</f>
        <v>82797</v>
      </c>
      <c r="H173" s="13"/>
      <c r="I173" s="13"/>
    </row>
    <row r="174" spans="1:9" s="11" customFormat="1" ht="31.5" x14ac:dyDescent="0.25">
      <c r="A174" s="39"/>
      <c r="B174" s="103" t="s">
        <v>260</v>
      </c>
      <c r="C174" s="40">
        <f t="shared" si="5"/>
        <v>24877</v>
      </c>
      <c r="D174" s="31">
        <v>6400</v>
      </c>
      <c r="E174" s="31"/>
      <c r="F174" s="31"/>
      <c r="G174" s="34">
        <f>'4.pielikums'!B162</f>
        <v>31277</v>
      </c>
      <c r="H174" s="13"/>
      <c r="I174" s="13"/>
    </row>
    <row r="175" spans="1:9" s="11" customFormat="1" ht="31.5" x14ac:dyDescent="0.25">
      <c r="A175" s="39"/>
      <c r="B175" s="103" t="s">
        <v>259</v>
      </c>
      <c r="C175" s="40">
        <f t="shared" si="5"/>
        <v>0</v>
      </c>
      <c r="D175" s="31">
        <v>4824</v>
      </c>
      <c r="E175" s="31"/>
      <c r="F175" s="31"/>
      <c r="G175" s="34">
        <f>'4.pielikums'!B163</f>
        <v>4824</v>
      </c>
      <c r="H175" s="13"/>
      <c r="I175" s="13"/>
    </row>
    <row r="176" spans="1:9" s="11" customFormat="1" ht="31.5" x14ac:dyDescent="0.25">
      <c r="A176" s="39"/>
      <c r="B176" s="103" t="s">
        <v>258</v>
      </c>
      <c r="C176" s="40">
        <f t="shared" si="5"/>
        <v>42758</v>
      </c>
      <c r="D176" s="31">
        <v>32500</v>
      </c>
      <c r="E176" s="31"/>
      <c r="F176" s="31"/>
      <c r="G176" s="34">
        <f>'4.pielikums'!B164</f>
        <v>75258</v>
      </c>
      <c r="H176" s="13"/>
      <c r="I176" s="13"/>
    </row>
    <row r="177" spans="1:9" s="11" customFormat="1" ht="31.5" x14ac:dyDescent="0.25">
      <c r="A177" s="39"/>
      <c r="B177" s="103" t="s">
        <v>257</v>
      </c>
      <c r="C177" s="40">
        <f t="shared" si="5"/>
        <v>2758</v>
      </c>
      <c r="D177" s="31"/>
      <c r="E177" s="31"/>
      <c r="F177" s="31"/>
      <c r="G177" s="34">
        <f>'4.pielikums'!B165</f>
        <v>2758</v>
      </c>
      <c r="H177" s="13"/>
      <c r="I177" s="13"/>
    </row>
    <row r="178" spans="1:9" s="11" customFormat="1" ht="31.5" x14ac:dyDescent="0.25">
      <c r="A178" s="39"/>
      <c r="B178" s="103" t="s">
        <v>256</v>
      </c>
      <c r="C178" s="40">
        <f t="shared" si="5"/>
        <v>0</v>
      </c>
      <c r="D178" s="31">
        <v>2255</v>
      </c>
      <c r="E178" s="31"/>
      <c r="F178" s="31"/>
      <c r="G178" s="34">
        <f>'4.pielikums'!B166</f>
        <v>2255</v>
      </c>
      <c r="H178" s="13"/>
      <c r="I178" s="13"/>
    </row>
    <row r="179" spans="1:9" s="11" customFormat="1" ht="31.5" x14ac:dyDescent="0.25">
      <c r="A179" s="39"/>
      <c r="B179" s="103" t="s">
        <v>255</v>
      </c>
      <c r="C179" s="40">
        <f t="shared" si="5"/>
        <v>299</v>
      </c>
      <c r="D179" s="31">
        <v>2668</v>
      </c>
      <c r="E179" s="31"/>
      <c r="F179" s="31"/>
      <c r="G179" s="34">
        <f>'4.pielikums'!B167</f>
        <v>2967</v>
      </c>
      <c r="H179" s="13"/>
      <c r="I179" s="13"/>
    </row>
    <row r="180" spans="1:9" s="11" customFormat="1" ht="31.5" x14ac:dyDescent="0.25">
      <c r="A180" s="39"/>
      <c r="B180" s="103" t="s">
        <v>254</v>
      </c>
      <c r="C180" s="40">
        <f t="shared" si="5"/>
        <v>23256</v>
      </c>
      <c r="D180" s="31">
        <v>9400</v>
      </c>
      <c r="E180" s="31"/>
      <c r="F180" s="31"/>
      <c r="G180" s="34">
        <f>'4.pielikums'!B168</f>
        <v>32656</v>
      </c>
      <c r="H180" s="13"/>
      <c r="I180" s="13"/>
    </row>
    <row r="181" spans="1:9" s="11" customFormat="1" ht="15.75" x14ac:dyDescent="0.25">
      <c r="A181" s="39"/>
      <c r="B181" s="103" t="s">
        <v>253</v>
      </c>
      <c r="C181" s="40">
        <f t="shared" si="5"/>
        <v>3414</v>
      </c>
      <c r="D181" s="31">
        <v>2600</v>
      </c>
      <c r="E181" s="31"/>
      <c r="F181" s="31"/>
      <c r="G181" s="34">
        <f>'4.pielikums'!B169</f>
        <v>6014</v>
      </c>
      <c r="H181" s="13"/>
      <c r="I181" s="13"/>
    </row>
    <row r="182" spans="1:9" s="11" customFormat="1" ht="31.5" x14ac:dyDescent="0.25">
      <c r="A182" s="39"/>
      <c r="B182" s="103" t="s">
        <v>252</v>
      </c>
      <c r="C182" s="40">
        <f t="shared" si="5"/>
        <v>18493</v>
      </c>
      <c r="D182" s="31"/>
      <c r="E182" s="31"/>
      <c r="F182" s="31"/>
      <c r="G182" s="34">
        <f>'4.pielikums'!B170</f>
        <v>18493</v>
      </c>
      <c r="H182" s="13"/>
      <c r="I182" s="13"/>
    </row>
    <row r="183" spans="1:9" s="11" customFormat="1" ht="31.5" x14ac:dyDescent="0.25">
      <c r="A183" s="39"/>
      <c r="B183" s="103" t="s">
        <v>251</v>
      </c>
      <c r="C183" s="40">
        <f t="shared" si="5"/>
        <v>211</v>
      </c>
      <c r="D183" s="31">
        <v>4589</v>
      </c>
      <c r="E183" s="31"/>
      <c r="F183" s="31"/>
      <c r="G183" s="34">
        <f>'4.pielikums'!B171</f>
        <v>4800</v>
      </c>
      <c r="H183" s="13"/>
      <c r="I183" s="13"/>
    </row>
    <row r="184" spans="1:9" s="11" customFormat="1" ht="31.5" x14ac:dyDescent="0.25">
      <c r="A184" s="39"/>
      <c r="B184" s="103" t="s">
        <v>250</v>
      </c>
      <c r="C184" s="40">
        <f t="shared" si="5"/>
        <v>15524</v>
      </c>
      <c r="D184" s="31"/>
      <c r="E184" s="31"/>
      <c r="F184" s="31"/>
      <c r="G184" s="34">
        <f>'4.pielikums'!B172</f>
        <v>15524</v>
      </c>
      <c r="H184" s="13"/>
      <c r="I184" s="13"/>
    </row>
    <row r="185" spans="1:9" s="11" customFormat="1" ht="39" customHeight="1" x14ac:dyDescent="0.25">
      <c r="A185" s="39"/>
      <c r="B185" s="103" t="s">
        <v>249</v>
      </c>
      <c r="C185" s="40">
        <f t="shared" si="5"/>
        <v>12796</v>
      </c>
      <c r="D185" s="31">
        <v>48800</v>
      </c>
      <c r="E185" s="31"/>
      <c r="F185" s="31"/>
      <c r="G185" s="34">
        <f>'4.pielikums'!B173</f>
        <v>61596</v>
      </c>
      <c r="H185" s="13"/>
      <c r="I185" s="13"/>
    </row>
    <row r="186" spans="1:9" s="11" customFormat="1" ht="15.75" x14ac:dyDescent="0.25">
      <c r="A186" s="39"/>
      <c r="B186" s="103" t="s">
        <v>344</v>
      </c>
      <c r="C186" s="40">
        <f t="shared" si="5"/>
        <v>3591</v>
      </c>
      <c r="D186" s="31"/>
      <c r="E186" s="31"/>
      <c r="F186" s="31"/>
      <c r="G186" s="34">
        <f>'4.pielikums'!B174</f>
        <v>3591</v>
      </c>
      <c r="H186" s="13"/>
      <c r="I186" s="13"/>
    </row>
    <row r="187" spans="1:9" s="11" customFormat="1" ht="31.5" x14ac:dyDescent="0.25">
      <c r="A187" s="39"/>
      <c r="B187" s="103" t="s">
        <v>277</v>
      </c>
      <c r="C187" s="40">
        <f t="shared" si="5"/>
        <v>27348</v>
      </c>
      <c r="D187" s="31">
        <v>1750</v>
      </c>
      <c r="E187" s="31"/>
      <c r="F187" s="31"/>
      <c r="G187" s="34">
        <f>'4.pielikums'!B175</f>
        <v>29098</v>
      </c>
      <c r="H187" s="13"/>
      <c r="I187" s="13"/>
    </row>
    <row r="188" spans="1:9" s="11" customFormat="1" ht="31.5" x14ac:dyDescent="0.25">
      <c r="A188" s="39"/>
      <c r="B188" s="103" t="s">
        <v>248</v>
      </c>
      <c r="C188" s="40">
        <f t="shared" si="5"/>
        <v>28465</v>
      </c>
      <c r="D188" s="31">
        <v>16700</v>
      </c>
      <c r="E188" s="31"/>
      <c r="F188" s="31"/>
      <c r="G188" s="34">
        <f>'4.pielikums'!B176</f>
        <v>45165</v>
      </c>
      <c r="H188" s="13"/>
      <c r="I188" s="13"/>
    </row>
    <row r="189" spans="1:9" s="11" customFormat="1" ht="31.5" x14ac:dyDescent="0.25">
      <c r="A189" s="39"/>
      <c r="B189" s="103" t="s">
        <v>247</v>
      </c>
      <c r="C189" s="40">
        <f t="shared" si="5"/>
        <v>31621</v>
      </c>
      <c r="D189" s="31">
        <v>54770</v>
      </c>
      <c r="E189" s="31"/>
      <c r="F189" s="31"/>
      <c r="G189" s="34">
        <f>'4.pielikums'!B177</f>
        <v>86391</v>
      </c>
      <c r="H189" s="13"/>
      <c r="I189" s="13"/>
    </row>
    <row r="190" spans="1:9" s="11" customFormat="1" ht="31.5" x14ac:dyDescent="0.25">
      <c r="A190" s="39"/>
      <c r="B190" s="103" t="s">
        <v>246</v>
      </c>
      <c r="C190" s="40">
        <f t="shared" si="5"/>
        <v>1457</v>
      </c>
      <c r="D190" s="31">
        <v>2500</v>
      </c>
      <c r="E190" s="31"/>
      <c r="F190" s="31"/>
      <c r="G190" s="34">
        <f>'4.pielikums'!B178</f>
        <v>3957</v>
      </c>
      <c r="H190" s="13"/>
      <c r="I190" s="13"/>
    </row>
    <row r="191" spans="1:9" s="11" customFormat="1" ht="15.75" x14ac:dyDescent="0.25">
      <c r="A191" s="39"/>
      <c r="B191" s="103" t="s">
        <v>245</v>
      </c>
      <c r="C191" s="40">
        <f t="shared" si="5"/>
        <v>12099</v>
      </c>
      <c r="D191" s="31">
        <v>469</v>
      </c>
      <c r="E191" s="31"/>
      <c r="F191" s="31"/>
      <c r="G191" s="34">
        <f>'4.pielikums'!B179</f>
        <v>12568</v>
      </c>
      <c r="H191" s="13"/>
      <c r="I191" s="13"/>
    </row>
    <row r="192" spans="1:9" s="11" customFormat="1" ht="31.5" x14ac:dyDescent="0.25">
      <c r="A192" s="39"/>
      <c r="B192" s="103" t="s">
        <v>244</v>
      </c>
      <c r="C192" s="40">
        <f t="shared" si="5"/>
        <v>6365</v>
      </c>
      <c r="D192" s="31"/>
      <c r="E192" s="31"/>
      <c r="F192" s="31"/>
      <c r="G192" s="34">
        <f>'4.pielikums'!B180</f>
        <v>6365</v>
      </c>
      <c r="H192" s="13"/>
      <c r="I192" s="13"/>
    </row>
    <row r="193" spans="1:9" s="11" customFormat="1" ht="31.5" x14ac:dyDescent="0.25">
      <c r="A193" s="39"/>
      <c r="B193" s="110" t="s">
        <v>348</v>
      </c>
      <c r="C193" s="40">
        <f t="shared" si="5"/>
        <v>132103</v>
      </c>
      <c r="D193" s="31">
        <v>3400</v>
      </c>
      <c r="E193" s="31"/>
      <c r="F193" s="31"/>
      <c r="G193" s="34">
        <f>'4.pielikums'!B181</f>
        <v>135503</v>
      </c>
      <c r="H193" s="13"/>
      <c r="I193" s="13"/>
    </row>
    <row r="194" spans="1:9" s="11" customFormat="1" ht="15.75" x14ac:dyDescent="0.25">
      <c r="A194" s="39"/>
      <c r="B194" s="110" t="s">
        <v>349</v>
      </c>
      <c r="C194" s="40">
        <f t="shared" si="5"/>
        <v>172354</v>
      </c>
      <c r="D194" s="31">
        <v>1900</v>
      </c>
      <c r="E194" s="31"/>
      <c r="F194" s="31"/>
      <c r="G194" s="34">
        <f>'4.pielikums'!B182</f>
        <v>174254</v>
      </c>
      <c r="H194" s="13"/>
      <c r="I194" s="13"/>
    </row>
    <row r="195" spans="1:9" s="11" customFormat="1" ht="15.75" x14ac:dyDescent="0.25">
      <c r="A195" s="39"/>
      <c r="B195" s="115" t="s">
        <v>350</v>
      </c>
      <c r="C195" s="40">
        <f t="shared" si="5"/>
        <v>1865</v>
      </c>
      <c r="D195" s="31">
        <v>4380</v>
      </c>
      <c r="E195" s="31"/>
      <c r="F195" s="31"/>
      <c r="G195" s="34">
        <f>'4.pielikums'!B183</f>
        <v>6245</v>
      </c>
      <c r="H195" s="13"/>
      <c r="I195" s="13"/>
    </row>
    <row r="196" spans="1:9" s="11" customFormat="1" ht="15.75" x14ac:dyDescent="0.25">
      <c r="A196" s="39"/>
      <c r="B196" s="115" t="s">
        <v>351</v>
      </c>
      <c r="C196" s="40">
        <f t="shared" si="5"/>
        <v>1589</v>
      </c>
      <c r="D196" s="31">
        <v>4380</v>
      </c>
      <c r="E196" s="31"/>
      <c r="F196" s="31"/>
      <c r="G196" s="34">
        <f>'4.pielikums'!B184</f>
        <v>5969</v>
      </c>
      <c r="H196" s="13"/>
      <c r="I196" s="13"/>
    </row>
    <row r="197" spans="1:9" s="11" customFormat="1" ht="15.75" x14ac:dyDescent="0.25">
      <c r="A197" s="39"/>
      <c r="B197" s="110" t="s">
        <v>346</v>
      </c>
      <c r="C197" s="40">
        <f t="shared" si="5"/>
        <v>53887</v>
      </c>
      <c r="D197" s="31"/>
      <c r="E197" s="31"/>
      <c r="F197" s="31"/>
      <c r="G197" s="34">
        <f>'4.pielikums'!B185</f>
        <v>53887</v>
      </c>
      <c r="H197" s="13"/>
      <c r="I197" s="13"/>
    </row>
    <row r="198" spans="1:9" s="11" customFormat="1" ht="31.5" x14ac:dyDescent="0.25">
      <c r="A198" s="39"/>
      <c r="B198" s="110" t="s">
        <v>347</v>
      </c>
      <c r="C198" s="40">
        <f t="shared" si="5"/>
        <v>10000</v>
      </c>
      <c r="D198" s="31"/>
      <c r="E198" s="31"/>
      <c r="F198" s="31"/>
      <c r="G198" s="34">
        <f>'4.pielikums'!B186</f>
        <v>10000</v>
      </c>
      <c r="H198" s="13"/>
      <c r="I198" s="13"/>
    </row>
    <row r="199" spans="1:9" s="11" customFormat="1" ht="31.5" x14ac:dyDescent="0.25">
      <c r="A199" s="39"/>
      <c r="B199" s="110" t="s">
        <v>353</v>
      </c>
      <c r="C199" s="40">
        <f t="shared" si="5"/>
        <v>4018</v>
      </c>
      <c r="D199" s="31"/>
      <c r="E199" s="31"/>
      <c r="F199" s="31"/>
      <c r="G199" s="34">
        <f>'4.pielikums'!B187</f>
        <v>4018</v>
      </c>
      <c r="H199" s="13"/>
      <c r="I199" s="13"/>
    </row>
    <row r="200" spans="1:9" s="11" customFormat="1" ht="31.5" x14ac:dyDescent="0.25">
      <c r="A200" s="39"/>
      <c r="B200" s="110" t="s">
        <v>352</v>
      </c>
      <c r="C200" s="40">
        <f t="shared" si="5"/>
        <v>2437</v>
      </c>
      <c r="D200" s="31"/>
      <c r="E200" s="31"/>
      <c r="F200" s="31"/>
      <c r="G200" s="34">
        <f>'4.pielikums'!B188</f>
        <v>2437</v>
      </c>
      <c r="H200" s="13"/>
      <c r="I200" s="13"/>
    </row>
    <row r="201" spans="1:9" ht="15.75" x14ac:dyDescent="0.25">
      <c r="A201" s="41" t="s">
        <v>89</v>
      </c>
      <c r="B201" s="30" t="s">
        <v>90</v>
      </c>
      <c r="C201" s="33">
        <f>SUM(C202:C216)</f>
        <v>43713</v>
      </c>
      <c r="D201" s="33">
        <f t="shared" ref="D201:G201" si="6">SUM(D202:D216)</f>
        <v>618</v>
      </c>
      <c r="E201" s="33">
        <f t="shared" si="6"/>
        <v>165493</v>
      </c>
      <c r="F201" s="33">
        <f t="shared" si="6"/>
        <v>0</v>
      </c>
      <c r="G201" s="34">
        <f t="shared" si="6"/>
        <v>209824</v>
      </c>
      <c r="H201" s="13"/>
      <c r="I201" s="13"/>
    </row>
    <row r="202" spans="1:9" ht="15.75" x14ac:dyDescent="0.25">
      <c r="A202" s="39"/>
      <c r="B202" s="32" t="s">
        <v>91</v>
      </c>
      <c r="C202" s="31">
        <f>G202-D202-E202</f>
        <v>2180</v>
      </c>
      <c r="D202" s="31">
        <v>200</v>
      </c>
      <c r="E202" s="31">
        <v>9998</v>
      </c>
      <c r="F202" s="31"/>
      <c r="G202" s="34">
        <f>'4.pielikums'!B190</f>
        <v>12378</v>
      </c>
      <c r="H202" s="13"/>
      <c r="I202" s="13"/>
    </row>
    <row r="203" spans="1:9" ht="15.75" x14ac:dyDescent="0.25">
      <c r="A203" s="39"/>
      <c r="B203" s="32" t="s">
        <v>92</v>
      </c>
      <c r="C203" s="31">
        <f>G203-E203-D203</f>
        <v>1642</v>
      </c>
      <c r="D203" s="31">
        <v>60</v>
      </c>
      <c r="E203" s="31">
        <v>9998</v>
      </c>
      <c r="F203" s="31"/>
      <c r="G203" s="34">
        <f>'4.pielikums'!B191</f>
        <v>11700</v>
      </c>
      <c r="H203" s="13"/>
      <c r="I203" s="13"/>
    </row>
    <row r="204" spans="1:9" ht="15.75" x14ac:dyDescent="0.25">
      <c r="A204" s="39"/>
      <c r="B204" s="32" t="s">
        <v>93</v>
      </c>
      <c r="C204" s="40">
        <f>G204-D204-E204</f>
        <v>1579</v>
      </c>
      <c r="D204" s="31">
        <v>140</v>
      </c>
      <c r="E204" s="31">
        <v>9998</v>
      </c>
      <c r="F204" s="31"/>
      <c r="G204" s="34">
        <f>'4.pielikums'!B192</f>
        <v>11717</v>
      </c>
      <c r="H204" s="13"/>
      <c r="I204" s="13"/>
    </row>
    <row r="205" spans="1:9" s="11" customFormat="1" ht="15.75" x14ac:dyDescent="0.25">
      <c r="A205" s="39"/>
      <c r="B205" s="32" t="s">
        <v>362</v>
      </c>
      <c r="C205" s="40">
        <v>933</v>
      </c>
      <c r="D205" s="31"/>
      <c r="E205" s="31">
        <v>8283</v>
      </c>
      <c r="F205" s="31"/>
      <c r="G205" s="34">
        <f>'4.pielikums'!B193</f>
        <v>9216</v>
      </c>
      <c r="H205" s="13"/>
      <c r="I205" s="13"/>
    </row>
    <row r="206" spans="1:9" ht="32.25" customHeight="1" x14ac:dyDescent="0.25">
      <c r="A206" s="39"/>
      <c r="B206" s="32" t="s">
        <v>94</v>
      </c>
      <c r="C206" s="40">
        <f>G206-D206-E206</f>
        <v>1049</v>
      </c>
      <c r="D206" s="31">
        <v>25</v>
      </c>
      <c r="E206" s="31">
        <v>9998</v>
      </c>
      <c r="F206" s="31"/>
      <c r="G206" s="34">
        <f>'4.pielikums'!B194</f>
        <v>11072</v>
      </c>
      <c r="H206" s="13"/>
      <c r="I206" s="13"/>
    </row>
    <row r="207" spans="1:9" s="11" customFormat="1" ht="15.75" x14ac:dyDescent="0.25">
      <c r="A207" s="39"/>
      <c r="B207" s="32" t="s">
        <v>354</v>
      </c>
      <c r="C207" s="40">
        <v>2935</v>
      </c>
      <c r="D207" s="31"/>
      <c r="E207" s="31">
        <v>9997</v>
      </c>
      <c r="F207" s="31"/>
      <c r="G207" s="34">
        <f>'4.pielikums'!B195</f>
        <v>12932</v>
      </c>
      <c r="H207" s="13"/>
      <c r="I207" s="13"/>
    </row>
    <row r="208" spans="1:9" s="11" customFormat="1" ht="15.75" x14ac:dyDescent="0.25">
      <c r="A208" s="39"/>
      <c r="B208" s="103" t="s">
        <v>363</v>
      </c>
      <c r="C208" s="40">
        <v>4059</v>
      </c>
      <c r="D208" s="31">
        <v>51</v>
      </c>
      <c r="E208" s="31">
        <v>8348</v>
      </c>
      <c r="F208" s="31"/>
      <c r="G208" s="34">
        <f>'4.pielikums'!B196</f>
        <v>12458</v>
      </c>
      <c r="H208" s="13"/>
      <c r="I208" s="13"/>
    </row>
    <row r="209" spans="1:9" ht="15.75" x14ac:dyDescent="0.25">
      <c r="A209" s="39"/>
      <c r="B209" s="32" t="s">
        <v>95</v>
      </c>
      <c r="C209" s="31">
        <f>G209-D209-E209</f>
        <v>1819</v>
      </c>
      <c r="D209" s="31">
        <v>25</v>
      </c>
      <c r="E209" s="31">
        <v>9998</v>
      </c>
      <c r="F209" s="31"/>
      <c r="G209" s="34">
        <f>'4.pielikums'!B197</f>
        <v>11842</v>
      </c>
      <c r="H209" s="13"/>
      <c r="I209" s="13"/>
    </row>
    <row r="210" spans="1:9" ht="15.75" x14ac:dyDescent="0.25">
      <c r="A210" s="39"/>
      <c r="B210" s="32" t="s">
        <v>96</v>
      </c>
      <c r="C210" s="31">
        <f>G210-D210-E210</f>
        <v>1657</v>
      </c>
      <c r="D210" s="31">
        <v>117</v>
      </c>
      <c r="E210" s="31">
        <v>9998</v>
      </c>
      <c r="F210" s="31"/>
      <c r="G210" s="34">
        <f>'4.pielikums'!B198</f>
        <v>11772</v>
      </c>
      <c r="H210" s="13"/>
      <c r="I210" s="13"/>
    </row>
    <row r="211" spans="1:9" s="11" customFormat="1" ht="47.25" x14ac:dyDescent="0.25">
      <c r="A211" s="39"/>
      <c r="B211" s="83" t="s">
        <v>156</v>
      </c>
      <c r="C211" s="31">
        <v>13145</v>
      </c>
      <c r="D211" s="31"/>
      <c r="E211" s="31">
        <v>20155</v>
      </c>
      <c r="F211" s="31"/>
      <c r="G211" s="34">
        <f>'4.pielikums'!B200</f>
        <v>33300</v>
      </c>
      <c r="H211" s="13"/>
      <c r="I211" s="13"/>
    </row>
    <row r="212" spans="1:9" s="11" customFormat="1" ht="77.25" customHeight="1" x14ac:dyDescent="0.25">
      <c r="A212" s="39"/>
      <c r="B212" s="110" t="s">
        <v>290</v>
      </c>
      <c r="C212" s="31">
        <v>3071</v>
      </c>
      <c r="D212" s="31"/>
      <c r="E212" s="31"/>
      <c r="F212" s="31"/>
      <c r="G212" s="34">
        <f>'4.pielikums'!B201</f>
        <v>3071</v>
      </c>
      <c r="H212" s="13"/>
      <c r="I212" s="13"/>
    </row>
    <row r="213" spans="1:9" s="11" customFormat="1" ht="34.5" customHeight="1" x14ac:dyDescent="0.25">
      <c r="A213" s="39"/>
      <c r="B213" s="111" t="s">
        <v>356</v>
      </c>
      <c r="C213" s="31">
        <v>2523</v>
      </c>
      <c r="D213" s="31"/>
      <c r="E213" s="31"/>
      <c r="F213" s="31"/>
      <c r="G213" s="34">
        <f>'4.pielikums'!B202</f>
        <v>2523</v>
      </c>
      <c r="H213" s="13"/>
      <c r="I213" s="13"/>
    </row>
    <row r="214" spans="1:9" s="11" customFormat="1" ht="56.25" customHeight="1" x14ac:dyDescent="0.25">
      <c r="A214" s="39"/>
      <c r="B214" s="103" t="s">
        <v>292</v>
      </c>
      <c r="C214" s="31"/>
      <c r="D214" s="31"/>
      <c r="E214" s="31">
        <v>16836</v>
      </c>
      <c r="F214" s="31"/>
      <c r="G214" s="34">
        <f>'4.pielikums'!B203</f>
        <v>16836</v>
      </c>
      <c r="H214" s="13"/>
      <c r="I214" s="13"/>
    </row>
    <row r="215" spans="1:9" s="11" customFormat="1" ht="56.25" customHeight="1" x14ac:dyDescent="0.25">
      <c r="A215" s="39"/>
      <c r="B215" s="103" t="s">
        <v>467</v>
      </c>
      <c r="C215" s="31"/>
      <c r="D215" s="31"/>
      <c r="E215" s="31">
        <v>7000</v>
      </c>
      <c r="F215" s="31"/>
      <c r="G215" s="34">
        <f>'4.pielikums'!B204</f>
        <v>7000</v>
      </c>
      <c r="H215" s="13"/>
      <c r="I215" s="13"/>
    </row>
    <row r="216" spans="1:9" s="11" customFormat="1" ht="15.75" x14ac:dyDescent="0.25">
      <c r="A216" s="39"/>
      <c r="B216" s="83" t="s">
        <v>355</v>
      </c>
      <c r="C216" s="31">
        <v>7121</v>
      </c>
      <c r="D216" s="31"/>
      <c r="E216" s="31">
        <v>34886</v>
      </c>
      <c r="F216" s="31"/>
      <c r="G216" s="34">
        <f>'4.pielikums'!B199</f>
        <v>42007</v>
      </c>
      <c r="H216" s="13"/>
      <c r="I216" s="13"/>
    </row>
    <row r="217" spans="1:9" ht="15.75" x14ac:dyDescent="0.25">
      <c r="A217" s="41" t="s">
        <v>97</v>
      </c>
      <c r="B217" s="30" t="s">
        <v>98</v>
      </c>
      <c r="C217" s="33">
        <f>C218+C231+C245+C252+C278</f>
        <v>1930318</v>
      </c>
      <c r="D217" s="33">
        <f>D218+D231+D245+D252+D278</f>
        <v>66897</v>
      </c>
      <c r="E217" s="33">
        <f>E218+E231+E245+E252+E278</f>
        <v>42838</v>
      </c>
      <c r="F217" s="33">
        <f>F218+F231+F245+F252+F278</f>
        <v>901928</v>
      </c>
      <c r="G217" s="34">
        <f>G218+G231+G245+G252+G278</f>
        <v>2941981</v>
      </c>
      <c r="H217" s="13"/>
      <c r="I217" s="13"/>
    </row>
    <row r="218" spans="1:9" ht="15.75" x14ac:dyDescent="0.25">
      <c r="A218" s="41"/>
      <c r="B218" s="30" t="s">
        <v>99</v>
      </c>
      <c r="C218" s="33">
        <f>SUM(C219:C229)</f>
        <v>118315</v>
      </c>
      <c r="D218" s="33">
        <f t="shared" ref="D218:G218" si="7">SUM(D219:D229)</f>
        <v>2350</v>
      </c>
      <c r="E218" s="33">
        <f t="shared" si="7"/>
        <v>0</v>
      </c>
      <c r="F218" s="33">
        <f t="shared" si="7"/>
        <v>0</v>
      </c>
      <c r="G218" s="34">
        <f t="shared" si="7"/>
        <v>120665</v>
      </c>
      <c r="H218" s="13"/>
      <c r="I218" s="13"/>
    </row>
    <row r="219" spans="1:9" ht="15.75" x14ac:dyDescent="0.25">
      <c r="A219" s="39"/>
      <c r="B219" s="31" t="s">
        <v>39</v>
      </c>
      <c r="C219" s="31">
        <f>G219-D219</f>
        <v>16113</v>
      </c>
      <c r="D219" s="31">
        <v>750</v>
      </c>
      <c r="E219" s="31"/>
      <c r="F219" s="31"/>
      <c r="G219" s="34">
        <f>'4.pielikums'!B205</f>
        <v>16863</v>
      </c>
      <c r="H219" s="13"/>
      <c r="I219" s="13"/>
    </row>
    <row r="220" spans="1:9" s="11" customFormat="1" ht="31.5" x14ac:dyDescent="0.25">
      <c r="A220" s="39"/>
      <c r="B220" s="32" t="s">
        <v>207</v>
      </c>
      <c r="C220" s="31">
        <f>G220-D220</f>
        <v>22101</v>
      </c>
      <c r="D220" s="31">
        <v>600</v>
      </c>
      <c r="E220" s="31"/>
      <c r="F220" s="31"/>
      <c r="G220" s="34">
        <f>'4.pielikums'!B206</f>
        <v>22701</v>
      </c>
      <c r="H220" s="13"/>
      <c r="I220" s="13"/>
    </row>
    <row r="221" spans="1:9" ht="15.75" x14ac:dyDescent="0.25">
      <c r="A221" s="39"/>
      <c r="B221" s="31" t="s">
        <v>100</v>
      </c>
      <c r="C221" s="31">
        <f>G221</f>
        <v>14489</v>
      </c>
      <c r="D221" s="31"/>
      <c r="E221" s="31"/>
      <c r="F221" s="31"/>
      <c r="G221" s="34">
        <f>'4.pielikums'!B207</f>
        <v>14489</v>
      </c>
      <c r="H221" s="13"/>
      <c r="I221" s="13"/>
    </row>
    <row r="222" spans="1:9" s="11" customFormat="1" ht="15.75" x14ac:dyDescent="0.25">
      <c r="A222" s="39"/>
      <c r="B222" s="31" t="s">
        <v>143</v>
      </c>
      <c r="C222" s="31">
        <v>2809</v>
      </c>
      <c r="D222" s="31"/>
      <c r="E222" s="31"/>
      <c r="F222" s="31"/>
      <c r="G222" s="34">
        <f>'4.pielikums'!B208</f>
        <v>2809</v>
      </c>
      <c r="H222" s="13"/>
      <c r="I222" s="13"/>
    </row>
    <row r="223" spans="1:9" ht="15.75" x14ac:dyDescent="0.25">
      <c r="A223" s="39"/>
      <c r="B223" s="31" t="s">
        <v>41</v>
      </c>
      <c r="C223" s="40">
        <f>G223</f>
        <v>5264</v>
      </c>
      <c r="D223" s="31"/>
      <c r="E223" s="31"/>
      <c r="F223" s="31"/>
      <c r="G223" s="34">
        <f>'4.pielikums'!B210</f>
        <v>5264</v>
      </c>
      <c r="H223" s="13"/>
      <c r="I223" s="13"/>
    </row>
    <row r="224" spans="1:9" ht="15.75" x14ac:dyDescent="0.25">
      <c r="A224" s="39"/>
      <c r="B224" s="31" t="s">
        <v>42</v>
      </c>
      <c r="C224" s="31">
        <f>G224</f>
        <v>2110</v>
      </c>
      <c r="D224" s="31"/>
      <c r="E224" s="31"/>
      <c r="F224" s="31"/>
      <c r="G224" s="34">
        <f>'4.pielikums'!B211</f>
        <v>2110</v>
      </c>
      <c r="H224" s="13"/>
      <c r="I224" s="13"/>
    </row>
    <row r="225" spans="1:9" s="11" customFormat="1" ht="15.75" x14ac:dyDescent="0.25">
      <c r="A225" s="39"/>
      <c r="B225" s="31" t="s">
        <v>365</v>
      </c>
      <c r="C225" s="31">
        <v>1276</v>
      </c>
      <c r="D225" s="31"/>
      <c r="E225" s="31"/>
      <c r="F225" s="31"/>
      <c r="G225" s="34">
        <f>'4.pielikums'!B212</f>
        <v>1276</v>
      </c>
      <c r="H225" s="13"/>
      <c r="I225" s="13"/>
    </row>
    <row r="226" spans="1:9" s="11" customFormat="1" ht="37.5" customHeight="1" x14ac:dyDescent="0.25">
      <c r="A226" s="39"/>
      <c r="B226" s="103" t="s">
        <v>295</v>
      </c>
      <c r="C226" s="31">
        <v>6119</v>
      </c>
      <c r="D226" s="31"/>
      <c r="E226" s="31"/>
      <c r="F226" s="31"/>
      <c r="G226" s="34">
        <f>'4.pielikums'!B213</f>
        <v>6119</v>
      </c>
      <c r="H226" s="13"/>
      <c r="I226" s="13"/>
    </row>
    <row r="227" spans="1:9" s="11" customFormat="1" ht="15.75" x14ac:dyDescent="0.25">
      <c r="A227" s="39"/>
      <c r="B227" s="103" t="s">
        <v>294</v>
      </c>
      <c r="C227" s="31">
        <v>5003</v>
      </c>
      <c r="D227" s="31"/>
      <c r="E227" s="31"/>
      <c r="F227" s="31"/>
      <c r="G227" s="34">
        <f>'4.pielikums'!B214</f>
        <v>5003</v>
      </c>
      <c r="H227" s="13"/>
      <c r="I227" s="13"/>
    </row>
    <row r="228" spans="1:9" s="11" customFormat="1" ht="39" customHeight="1" x14ac:dyDescent="0.25">
      <c r="A228" s="39"/>
      <c r="B228" s="103" t="s">
        <v>293</v>
      </c>
      <c r="C228" s="31">
        <v>13032</v>
      </c>
      <c r="D228" s="31"/>
      <c r="E228" s="31"/>
      <c r="F228" s="31"/>
      <c r="G228" s="34">
        <f>'4.pielikums'!B215</f>
        <v>13032</v>
      </c>
      <c r="H228" s="13"/>
      <c r="I228" s="13"/>
    </row>
    <row r="229" spans="1:9" s="11" customFormat="1" ht="15.75" x14ac:dyDescent="0.25">
      <c r="A229" s="39"/>
      <c r="B229" s="32" t="s">
        <v>163</v>
      </c>
      <c r="C229" s="40">
        <f>G229-D229</f>
        <v>29999</v>
      </c>
      <c r="D229" s="31">
        <v>1000</v>
      </c>
      <c r="E229" s="31"/>
      <c r="F229" s="31"/>
      <c r="G229" s="34">
        <f>'4.pielikums'!B209</f>
        <v>30999</v>
      </c>
      <c r="H229" s="13"/>
      <c r="I229" s="13"/>
    </row>
    <row r="230" spans="1:9" ht="15.75" x14ac:dyDescent="0.25">
      <c r="A230" s="41"/>
      <c r="B230" s="30" t="s">
        <v>101</v>
      </c>
      <c r="C230" s="30"/>
      <c r="D230" s="30"/>
      <c r="E230" s="30"/>
      <c r="F230" s="30"/>
      <c r="G230" s="41"/>
      <c r="H230" s="13"/>
      <c r="I230" s="13"/>
    </row>
    <row r="231" spans="1:9" ht="15.75" x14ac:dyDescent="0.25">
      <c r="A231" s="41"/>
      <c r="B231" s="30" t="s">
        <v>102</v>
      </c>
      <c r="C231" s="33">
        <f>SUM(C232:C244)</f>
        <v>480667</v>
      </c>
      <c r="D231" s="33">
        <f t="shared" ref="D231:G231" si="8">SUM(D232:D244)</f>
        <v>3479</v>
      </c>
      <c r="E231" s="33">
        <f t="shared" si="8"/>
        <v>2160</v>
      </c>
      <c r="F231" s="33">
        <f t="shared" si="8"/>
        <v>0</v>
      </c>
      <c r="G231" s="34">
        <f t="shared" si="8"/>
        <v>486306</v>
      </c>
      <c r="H231" s="13"/>
      <c r="I231" s="13"/>
    </row>
    <row r="232" spans="1:9" ht="15.75" x14ac:dyDescent="0.25">
      <c r="A232" s="39"/>
      <c r="B232" s="31" t="s">
        <v>43</v>
      </c>
      <c r="C232" s="40">
        <f>G232-E232-D232</f>
        <v>270102</v>
      </c>
      <c r="D232" s="31">
        <v>3314</v>
      </c>
      <c r="E232" s="31">
        <v>2160</v>
      </c>
      <c r="F232" s="31"/>
      <c r="G232" s="34">
        <f>'4.pielikums'!B216</f>
        <v>275576</v>
      </c>
      <c r="H232" s="13"/>
      <c r="I232" s="13"/>
    </row>
    <row r="233" spans="1:9" s="11" customFormat="1" ht="15.75" x14ac:dyDescent="0.25">
      <c r="A233" s="39"/>
      <c r="B233" s="116" t="s">
        <v>366</v>
      </c>
      <c r="C233" s="40">
        <v>21169</v>
      </c>
      <c r="D233" s="31"/>
      <c r="E233" s="31"/>
      <c r="F233" s="31"/>
      <c r="G233" s="34">
        <f>'4.pielikums'!B217</f>
        <v>21169</v>
      </c>
      <c r="H233" s="13"/>
      <c r="I233" s="13"/>
    </row>
    <row r="234" spans="1:9" s="11" customFormat="1" ht="15.75" x14ac:dyDescent="0.25">
      <c r="A234" s="39"/>
      <c r="B234" s="110" t="s">
        <v>283</v>
      </c>
      <c r="C234" s="40">
        <v>23816</v>
      </c>
      <c r="D234" s="31"/>
      <c r="E234" s="31"/>
      <c r="F234" s="31"/>
      <c r="G234" s="34">
        <f>'4.pielikums'!B218</f>
        <v>23816</v>
      </c>
      <c r="H234" s="13"/>
      <c r="I234" s="13"/>
    </row>
    <row r="235" spans="1:9" s="88" customFormat="1" ht="15.75" x14ac:dyDescent="0.25">
      <c r="A235" s="41"/>
      <c r="B235" s="110" t="s">
        <v>284</v>
      </c>
      <c r="C235" s="40">
        <v>20023</v>
      </c>
      <c r="D235" s="30"/>
      <c r="E235" s="30"/>
      <c r="F235" s="30"/>
      <c r="G235" s="34">
        <f>'4.pielikums'!B219</f>
        <v>20023</v>
      </c>
      <c r="H235" s="13"/>
      <c r="I235" s="13"/>
    </row>
    <row r="236" spans="1:9" s="88" customFormat="1" ht="15.75" x14ac:dyDescent="0.25">
      <c r="A236" s="41"/>
      <c r="B236" s="110" t="s">
        <v>285</v>
      </c>
      <c r="C236" s="40">
        <v>13817</v>
      </c>
      <c r="D236" s="30"/>
      <c r="E236" s="30"/>
      <c r="F236" s="30"/>
      <c r="G236" s="34">
        <f>'4.pielikums'!B220</f>
        <v>13817</v>
      </c>
      <c r="H236" s="13"/>
      <c r="I236" s="13"/>
    </row>
    <row r="237" spans="1:9" s="11" customFormat="1" ht="15.75" x14ac:dyDescent="0.25">
      <c r="A237" s="39"/>
      <c r="B237" s="110" t="s">
        <v>286</v>
      </c>
      <c r="C237" s="40">
        <v>12469</v>
      </c>
      <c r="D237" s="31"/>
      <c r="E237" s="31"/>
      <c r="F237" s="31"/>
      <c r="G237" s="34">
        <f>'4.pielikums'!B221</f>
        <v>12469</v>
      </c>
      <c r="H237" s="13"/>
      <c r="I237" s="13"/>
    </row>
    <row r="238" spans="1:9" s="11" customFormat="1" ht="15.75" x14ac:dyDescent="0.25">
      <c r="A238" s="39"/>
      <c r="B238" s="103" t="s">
        <v>302</v>
      </c>
      <c r="C238" s="40">
        <v>52774</v>
      </c>
      <c r="D238" s="31">
        <v>100</v>
      </c>
      <c r="E238" s="31"/>
      <c r="F238" s="31"/>
      <c r="G238" s="34">
        <f>'4.pielikums'!B222</f>
        <v>52874</v>
      </c>
      <c r="H238" s="13"/>
      <c r="I238" s="13"/>
    </row>
    <row r="239" spans="1:9" s="11" customFormat="1" ht="15.75" x14ac:dyDescent="0.25">
      <c r="A239" s="39"/>
      <c r="B239" s="103" t="s">
        <v>301</v>
      </c>
      <c r="C239" s="40">
        <v>11244</v>
      </c>
      <c r="D239" s="31"/>
      <c r="E239" s="31"/>
      <c r="F239" s="31"/>
      <c r="G239" s="34">
        <f>'4.pielikums'!B223</f>
        <v>11244</v>
      </c>
      <c r="H239" s="13"/>
      <c r="I239" s="13"/>
    </row>
    <row r="240" spans="1:9" s="11" customFormat="1" ht="15.75" x14ac:dyDescent="0.25">
      <c r="A240" s="39"/>
      <c r="B240" s="103" t="s">
        <v>300</v>
      </c>
      <c r="C240" s="40">
        <v>11623</v>
      </c>
      <c r="D240" s="31"/>
      <c r="E240" s="31"/>
      <c r="F240" s="31"/>
      <c r="G240" s="34">
        <f>'4.pielikums'!B224</f>
        <v>11623</v>
      </c>
      <c r="H240" s="13"/>
      <c r="I240" s="13"/>
    </row>
    <row r="241" spans="1:9" s="11" customFormat="1" ht="15.75" x14ac:dyDescent="0.25">
      <c r="A241" s="39"/>
      <c r="B241" s="103" t="s">
        <v>299</v>
      </c>
      <c r="C241" s="40">
        <v>12633</v>
      </c>
      <c r="D241" s="31"/>
      <c r="E241" s="31"/>
      <c r="F241" s="31"/>
      <c r="G241" s="34">
        <f>'4.pielikums'!B225</f>
        <v>12633</v>
      </c>
      <c r="H241" s="13"/>
      <c r="I241" s="13"/>
    </row>
    <row r="242" spans="1:9" s="11" customFormat="1" ht="31.5" x14ac:dyDescent="0.25">
      <c r="A242" s="39"/>
      <c r="B242" s="103" t="s">
        <v>298</v>
      </c>
      <c r="C242" s="40">
        <v>9522</v>
      </c>
      <c r="D242" s="31"/>
      <c r="E242" s="31"/>
      <c r="F242" s="31"/>
      <c r="G242" s="34">
        <f>'4.pielikums'!B226</f>
        <v>9522</v>
      </c>
      <c r="H242" s="13"/>
      <c r="I242" s="13"/>
    </row>
    <row r="243" spans="1:9" s="11" customFormat="1" ht="15.75" x14ac:dyDescent="0.25">
      <c r="A243" s="39"/>
      <c r="B243" s="103" t="s">
        <v>297</v>
      </c>
      <c r="C243" s="40">
        <v>9484</v>
      </c>
      <c r="D243" s="31"/>
      <c r="E243" s="31"/>
      <c r="F243" s="31"/>
      <c r="G243" s="34">
        <f>'4.pielikums'!B227</f>
        <v>9484</v>
      </c>
      <c r="H243" s="13"/>
      <c r="I243" s="13"/>
    </row>
    <row r="244" spans="1:9" s="11" customFormat="1" ht="15.75" x14ac:dyDescent="0.25">
      <c r="A244" s="39"/>
      <c r="B244" s="103" t="s">
        <v>296</v>
      </c>
      <c r="C244" s="40">
        <v>11991</v>
      </c>
      <c r="D244" s="31">
        <v>65</v>
      </c>
      <c r="E244" s="31"/>
      <c r="F244" s="31"/>
      <c r="G244" s="34">
        <f>'4.pielikums'!B228</f>
        <v>12056</v>
      </c>
      <c r="H244" s="13"/>
      <c r="I244" s="13"/>
    </row>
    <row r="245" spans="1:9" ht="15.75" x14ac:dyDescent="0.25">
      <c r="A245" s="41"/>
      <c r="B245" s="30" t="s">
        <v>103</v>
      </c>
      <c r="C245" s="33">
        <f>SUM(C246:C251)</f>
        <v>243557</v>
      </c>
      <c r="D245" s="33">
        <f t="shared" ref="D245:G245" si="9">SUM(D246:D251)</f>
        <v>15733</v>
      </c>
      <c r="E245" s="33">
        <f t="shared" si="9"/>
        <v>0</v>
      </c>
      <c r="F245" s="33">
        <f t="shared" si="9"/>
        <v>70457</v>
      </c>
      <c r="G245" s="34">
        <f t="shared" si="9"/>
        <v>329747</v>
      </c>
      <c r="H245" s="13"/>
      <c r="I245" s="13"/>
    </row>
    <row r="246" spans="1:9" ht="15.75" x14ac:dyDescent="0.25">
      <c r="A246" s="39"/>
      <c r="B246" s="31" t="s">
        <v>198</v>
      </c>
      <c r="C246" s="31">
        <f>G246-D246</f>
        <v>122203</v>
      </c>
      <c r="D246" s="31">
        <v>8100</v>
      </c>
      <c r="E246" s="31"/>
      <c r="F246" s="31"/>
      <c r="G246" s="34">
        <f>'4.pielikums'!B230</f>
        <v>130303</v>
      </c>
      <c r="H246" s="13"/>
      <c r="I246" s="13"/>
    </row>
    <row r="247" spans="1:9" s="11" customFormat="1" ht="15.75" x14ac:dyDescent="0.25">
      <c r="A247" s="39"/>
      <c r="B247" s="110" t="s">
        <v>306</v>
      </c>
      <c r="C247" s="31">
        <v>9700</v>
      </c>
      <c r="D247" s="31"/>
      <c r="E247" s="31"/>
      <c r="F247" s="31"/>
      <c r="G247" s="34">
        <f>'4.pielikums'!B229</f>
        <v>9700</v>
      </c>
      <c r="H247" s="13"/>
      <c r="I247" s="13"/>
    </row>
    <row r="248" spans="1:9" s="11" customFormat="1" ht="15.75" x14ac:dyDescent="0.25">
      <c r="A248" s="39"/>
      <c r="B248" s="31" t="s">
        <v>367</v>
      </c>
      <c r="C248" s="40">
        <f>G248-D248-E248-F248</f>
        <v>29477</v>
      </c>
      <c r="D248" s="31"/>
      <c r="E248" s="31"/>
      <c r="F248" s="31">
        <v>70457</v>
      </c>
      <c r="G248" s="34">
        <f>'4.pielikums'!B231</f>
        <v>99934</v>
      </c>
      <c r="H248" s="13"/>
      <c r="I248" s="13"/>
    </row>
    <row r="249" spans="1:9" s="11" customFormat="1" ht="15.75" x14ac:dyDescent="0.25">
      <c r="A249" s="39"/>
      <c r="B249" s="103" t="s">
        <v>305</v>
      </c>
      <c r="C249" s="31">
        <v>58831</v>
      </c>
      <c r="D249" s="31">
        <v>6303</v>
      </c>
      <c r="E249" s="31"/>
      <c r="F249" s="31"/>
      <c r="G249" s="34">
        <f>'4.pielikums'!B232</f>
        <v>65134</v>
      </c>
      <c r="H249" s="13"/>
      <c r="I249" s="13"/>
    </row>
    <row r="250" spans="1:9" s="11" customFormat="1" ht="31.5" x14ac:dyDescent="0.25">
      <c r="A250" s="39"/>
      <c r="B250" s="103" t="s">
        <v>304</v>
      </c>
      <c r="C250" s="31">
        <v>13683</v>
      </c>
      <c r="D250" s="31">
        <v>1330</v>
      </c>
      <c r="E250" s="31"/>
      <c r="F250" s="31"/>
      <c r="G250" s="34">
        <f>'4.pielikums'!B233</f>
        <v>15013</v>
      </c>
      <c r="H250" s="13"/>
      <c r="I250" s="13"/>
    </row>
    <row r="251" spans="1:9" s="11" customFormat="1" ht="31.5" x14ac:dyDescent="0.25">
      <c r="A251" s="39"/>
      <c r="B251" s="103" t="s">
        <v>303</v>
      </c>
      <c r="C251" s="31">
        <v>9663</v>
      </c>
      <c r="D251" s="31"/>
      <c r="E251" s="31"/>
      <c r="F251" s="31"/>
      <c r="G251" s="34">
        <f>'4.pielikums'!B234</f>
        <v>9663</v>
      </c>
      <c r="H251" s="13"/>
      <c r="I251" s="13"/>
    </row>
    <row r="252" spans="1:9" ht="15.75" x14ac:dyDescent="0.25">
      <c r="A252" s="41"/>
      <c r="B252" s="30" t="s">
        <v>104</v>
      </c>
      <c r="C252" s="33">
        <f>SUM(C253:C277)</f>
        <v>892045</v>
      </c>
      <c r="D252" s="33">
        <f>SUM(D253:D277)</f>
        <v>7405</v>
      </c>
      <c r="E252" s="33">
        <f>SUM(E253:E277)</f>
        <v>29078</v>
      </c>
      <c r="F252" s="33">
        <f>SUM(F253:F277)</f>
        <v>431471</v>
      </c>
      <c r="G252" s="34">
        <f>SUM(G253:G277)</f>
        <v>1359999</v>
      </c>
      <c r="H252" s="13"/>
      <c r="I252" s="13"/>
    </row>
    <row r="253" spans="1:9" ht="15.75" x14ac:dyDescent="0.25">
      <c r="A253" s="39"/>
      <c r="B253" s="31" t="s">
        <v>193</v>
      </c>
      <c r="C253" s="40">
        <f>G253-D253-E253</f>
        <v>221193</v>
      </c>
      <c r="D253" s="31">
        <v>1000</v>
      </c>
      <c r="E253" s="31">
        <v>6015</v>
      </c>
      <c r="F253" s="31"/>
      <c r="G253" s="34">
        <f>'4.pielikums'!B235</f>
        <v>228208</v>
      </c>
      <c r="H253" s="13"/>
      <c r="I253" s="13"/>
    </row>
    <row r="254" spans="1:9" ht="15.75" x14ac:dyDescent="0.25">
      <c r="A254" s="39"/>
      <c r="B254" s="31" t="s">
        <v>45</v>
      </c>
      <c r="C254" s="40">
        <f>23395-1150</f>
        <v>22245</v>
      </c>
      <c r="D254" s="31">
        <v>210</v>
      </c>
      <c r="E254" s="31"/>
      <c r="F254" s="31"/>
      <c r="G254" s="34">
        <f>'4.pielikums'!B237</f>
        <v>22455</v>
      </c>
      <c r="H254" s="13"/>
      <c r="I254" s="13"/>
    </row>
    <row r="255" spans="1:9" ht="15.75" x14ac:dyDescent="0.25">
      <c r="A255" s="39"/>
      <c r="B255" s="32" t="s">
        <v>105</v>
      </c>
      <c r="C255" s="40">
        <f t="shared" ref="C255:C277" si="10">G255-D255-E255</f>
        <v>33990</v>
      </c>
      <c r="D255" s="31">
        <v>100</v>
      </c>
      <c r="E255" s="31">
        <v>1604</v>
      </c>
      <c r="F255" s="31"/>
      <c r="G255" s="34">
        <f>'4.pielikums'!B241</f>
        <v>35694</v>
      </c>
      <c r="H255" s="13"/>
      <c r="I255" s="13"/>
    </row>
    <row r="256" spans="1:9" ht="15.75" x14ac:dyDescent="0.25">
      <c r="A256" s="39"/>
      <c r="B256" s="31" t="s">
        <v>48</v>
      </c>
      <c r="C256" s="40">
        <f t="shared" si="10"/>
        <v>37042</v>
      </c>
      <c r="D256" s="31">
        <v>550</v>
      </c>
      <c r="E256" s="31">
        <v>1203</v>
      </c>
      <c r="F256" s="31"/>
      <c r="G256" s="34">
        <f>'4.pielikums'!B240</f>
        <v>38795</v>
      </c>
      <c r="H256" s="13"/>
      <c r="I256" s="13"/>
    </row>
    <row r="257" spans="1:9" ht="15.75" x14ac:dyDescent="0.25">
      <c r="A257" s="39"/>
      <c r="B257" s="31" t="s">
        <v>106</v>
      </c>
      <c r="C257" s="40">
        <f t="shared" si="10"/>
        <v>19262</v>
      </c>
      <c r="D257" s="31">
        <v>100</v>
      </c>
      <c r="E257" s="31">
        <v>401</v>
      </c>
      <c r="F257" s="31"/>
      <c r="G257" s="34">
        <f>'4.pielikums'!B242</f>
        <v>19763</v>
      </c>
      <c r="H257" s="13"/>
      <c r="I257" s="13"/>
    </row>
    <row r="258" spans="1:9" ht="15.75" x14ac:dyDescent="0.25">
      <c r="A258" s="39"/>
      <c r="B258" s="31" t="s">
        <v>107</v>
      </c>
      <c r="C258" s="40">
        <f>G258-E258-D258</f>
        <v>58064</v>
      </c>
      <c r="D258" s="31">
        <v>817</v>
      </c>
      <c r="E258" s="31">
        <v>1604</v>
      </c>
      <c r="F258" s="31"/>
      <c r="G258" s="34">
        <f>'4.pielikums'!B243</f>
        <v>60485</v>
      </c>
      <c r="H258" s="13"/>
      <c r="I258" s="13"/>
    </row>
    <row r="259" spans="1:9" ht="15.75" x14ac:dyDescent="0.25">
      <c r="A259" s="39"/>
      <c r="B259" s="31" t="s">
        <v>108</v>
      </c>
      <c r="C259" s="40">
        <f t="shared" si="10"/>
        <v>38728</v>
      </c>
      <c r="D259" s="31">
        <v>800</v>
      </c>
      <c r="E259" s="31">
        <v>1203</v>
      </c>
      <c r="F259" s="31"/>
      <c r="G259" s="34">
        <f>'4.pielikums'!B244</f>
        <v>40731</v>
      </c>
      <c r="H259" s="13"/>
      <c r="I259" s="13"/>
    </row>
    <row r="260" spans="1:9" ht="31.5" x14ac:dyDescent="0.25">
      <c r="A260" s="39"/>
      <c r="B260" s="83" t="s">
        <v>109</v>
      </c>
      <c r="C260" s="40">
        <f t="shared" si="10"/>
        <v>29630</v>
      </c>
      <c r="D260" s="31">
        <v>170</v>
      </c>
      <c r="E260" s="31">
        <v>1203</v>
      </c>
      <c r="F260" s="31"/>
      <c r="G260" s="34">
        <f>'4.pielikums'!B245</f>
        <v>31003</v>
      </c>
      <c r="H260" s="13"/>
      <c r="I260" s="13"/>
    </row>
    <row r="261" spans="1:9" ht="15.75" x14ac:dyDescent="0.25">
      <c r="A261" s="39"/>
      <c r="B261" s="31" t="s">
        <v>110</v>
      </c>
      <c r="C261" s="40">
        <f t="shared" si="10"/>
        <v>18609</v>
      </c>
      <c r="D261" s="31">
        <v>200</v>
      </c>
      <c r="E261" s="31">
        <v>802</v>
      </c>
      <c r="F261" s="31"/>
      <c r="G261" s="34">
        <f>'4.pielikums'!B246</f>
        <v>19611</v>
      </c>
      <c r="H261" s="13"/>
      <c r="I261" s="13"/>
    </row>
    <row r="262" spans="1:9" ht="15.75" x14ac:dyDescent="0.25">
      <c r="A262" s="39"/>
      <c r="B262" s="31" t="s">
        <v>111</v>
      </c>
      <c r="C262" s="40">
        <f t="shared" si="10"/>
        <v>13633</v>
      </c>
      <c r="D262" s="31">
        <v>10</v>
      </c>
      <c r="E262" s="31"/>
      <c r="F262" s="31"/>
      <c r="G262" s="34">
        <f>'4.pielikums'!B238</f>
        <v>13643</v>
      </c>
      <c r="H262" s="13"/>
      <c r="I262" s="13"/>
    </row>
    <row r="263" spans="1:9" ht="15.75" x14ac:dyDescent="0.25">
      <c r="A263" s="39"/>
      <c r="B263" s="31" t="s">
        <v>112</v>
      </c>
      <c r="C263" s="40">
        <f t="shared" si="10"/>
        <v>10725</v>
      </c>
      <c r="D263" s="31"/>
      <c r="E263" s="31"/>
      <c r="F263" s="31"/>
      <c r="G263" s="34">
        <f>'4.pielikums'!B239</f>
        <v>10725</v>
      </c>
      <c r="H263" s="13"/>
      <c r="I263" s="13"/>
    </row>
    <row r="264" spans="1:9" s="11" customFormat="1" ht="31.5" x14ac:dyDescent="0.25">
      <c r="A264" s="39"/>
      <c r="B264" s="32" t="s">
        <v>369</v>
      </c>
      <c r="C264" s="40">
        <f t="shared" si="10"/>
        <v>0</v>
      </c>
      <c r="D264" s="31"/>
      <c r="E264" s="31">
        <v>8938</v>
      </c>
      <c r="F264" s="31"/>
      <c r="G264" s="34">
        <f>'4.pielikums'!B247</f>
        <v>8938</v>
      </c>
      <c r="H264" s="13"/>
      <c r="I264" s="13"/>
    </row>
    <row r="265" spans="1:9" s="11" customFormat="1" ht="31.5" x14ac:dyDescent="0.25">
      <c r="A265" s="39"/>
      <c r="B265" s="32" t="s">
        <v>287</v>
      </c>
      <c r="C265" s="40">
        <f t="shared" si="10"/>
        <v>62124</v>
      </c>
      <c r="D265" s="31">
        <v>554</v>
      </c>
      <c r="E265" s="31">
        <v>3208</v>
      </c>
      <c r="F265" s="31"/>
      <c r="G265" s="34">
        <f>'4.pielikums'!B248</f>
        <v>65886</v>
      </c>
      <c r="H265" s="13"/>
      <c r="I265" s="13"/>
    </row>
    <row r="266" spans="1:9" s="11" customFormat="1" ht="15.75" x14ac:dyDescent="0.25">
      <c r="A266" s="39"/>
      <c r="B266" s="32" t="s">
        <v>288</v>
      </c>
      <c r="C266" s="40">
        <f t="shared" si="10"/>
        <v>32377</v>
      </c>
      <c r="D266" s="31">
        <v>520</v>
      </c>
      <c r="E266" s="31">
        <v>401</v>
      </c>
      <c r="F266" s="31"/>
      <c r="G266" s="34">
        <f>'4.pielikums'!B249</f>
        <v>33298</v>
      </c>
      <c r="H266" s="13"/>
      <c r="I266" s="13"/>
    </row>
    <row r="267" spans="1:9" s="11" customFormat="1" ht="31.5" x14ac:dyDescent="0.25">
      <c r="A267" s="39"/>
      <c r="B267" s="103" t="s">
        <v>385</v>
      </c>
      <c r="C267" s="40">
        <f t="shared" si="10"/>
        <v>28847</v>
      </c>
      <c r="D267" s="31">
        <v>50</v>
      </c>
      <c r="E267" s="31"/>
      <c r="F267" s="31"/>
      <c r="G267" s="34">
        <f>'4.pielikums'!B255</f>
        <v>28897</v>
      </c>
      <c r="H267" s="13"/>
      <c r="I267" s="13"/>
    </row>
    <row r="268" spans="1:9" s="11" customFormat="1" ht="15.75" x14ac:dyDescent="0.25">
      <c r="A268" s="39"/>
      <c r="B268" s="103" t="s">
        <v>384</v>
      </c>
      <c r="C268" s="40">
        <f t="shared" si="10"/>
        <v>10856</v>
      </c>
      <c r="D268" s="31"/>
      <c r="E268" s="31"/>
      <c r="F268" s="31"/>
      <c r="G268" s="34">
        <f>'4.pielikums'!B256</f>
        <v>10856</v>
      </c>
      <c r="H268" s="13"/>
      <c r="I268" s="13"/>
    </row>
    <row r="269" spans="1:9" s="11" customFormat="1" ht="15.75" x14ac:dyDescent="0.25">
      <c r="A269" s="39"/>
      <c r="B269" s="103" t="s">
        <v>383</v>
      </c>
      <c r="C269" s="40">
        <f t="shared" si="10"/>
        <v>28562</v>
      </c>
      <c r="D269" s="31">
        <v>500</v>
      </c>
      <c r="E269" s="31"/>
      <c r="F269" s="31"/>
      <c r="G269" s="34">
        <f>'4.pielikums'!B257</f>
        <v>29062</v>
      </c>
      <c r="H269" s="13"/>
      <c r="I269" s="13"/>
    </row>
    <row r="270" spans="1:9" s="11" customFormat="1" ht="31.5" x14ac:dyDescent="0.25">
      <c r="A270" s="39"/>
      <c r="B270" s="103" t="s">
        <v>382</v>
      </c>
      <c r="C270" s="40">
        <f>G270-D270-E270-F270</f>
        <v>34309</v>
      </c>
      <c r="D270" s="31">
        <v>1000</v>
      </c>
      <c r="E270" s="31"/>
      <c r="F270" s="31">
        <v>431471</v>
      </c>
      <c r="G270" s="34">
        <f>'4.pielikums'!B258</f>
        <v>466780</v>
      </c>
      <c r="H270" s="13"/>
      <c r="I270" s="13"/>
    </row>
    <row r="271" spans="1:9" s="11" customFormat="1" ht="15.75" x14ac:dyDescent="0.25">
      <c r="A271" s="39"/>
      <c r="B271" s="103" t="s">
        <v>381</v>
      </c>
      <c r="C271" s="40">
        <f t="shared" si="10"/>
        <v>79411</v>
      </c>
      <c r="D271" s="31">
        <v>400</v>
      </c>
      <c r="E271" s="31"/>
      <c r="F271" s="31"/>
      <c r="G271" s="34">
        <f>'4.pielikums'!B259</f>
        <v>79811</v>
      </c>
      <c r="H271" s="13"/>
      <c r="I271" s="13"/>
    </row>
    <row r="272" spans="1:9" s="11" customFormat="1" ht="15.75" x14ac:dyDescent="0.25">
      <c r="A272" s="39"/>
      <c r="B272" s="103" t="s">
        <v>380</v>
      </c>
      <c r="C272" s="40">
        <f t="shared" si="10"/>
        <v>35598</v>
      </c>
      <c r="D272" s="31">
        <v>290</v>
      </c>
      <c r="E272" s="31"/>
      <c r="F272" s="31"/>
      <c r="G272" s="34">
        <f>'4.pielikums'!B260</f>
        <v>35888</v>
      </c>
      <c r="H272" s="13"/>
      <c r="I272" s="13"/>
    </row>
    <row r="273" spans="1:9" s="11" customFormat="1" ht="15.75" x14ac:dyDescent="0.25">
      <c r="A273" s="39"/>
      <c r="B273" s="103" t="s">
        <v>506</v>
      </c>
      <c r="C273" s="40">
        <f t="shared" si="10"/>
        <v>5326</v>
      </c>
      <c r="D273" s="31">
        <v>134</v>
      </c>
      <c r="E273" s="31"/>
      <c r="F273" s="31"/>
      <c r="G273" s="34">
        <f>'4.pielikums'!B261</f>
        <v>5460</v>
      </c>
      <c r="H273" s="13"/>
      <c r="I273" s="13"/>
    </row>
    <row r="274" spans="1:9" s="11" customFormat="1" ht="15.75" x14ac:dyDescent="0.25">
      <c r="A274" s="39"/>
      <c r="B274" s="103" t="s">
        <v>378</v>
      </c>
      <c r="C274" s="40">
        <f t="shared" si="10"/>
        <v>1355</v>
      </c>
      <c r="D274" s="31"/>
      <c r="E274" s="31"/>
      <c r="F274" s="31"/>
      <c r="G274" s="34">
        <f>'4.pielikums'!B262</f>
        <v>1355</v>
      </c>
      <c r="H274" s="13"/>
      <c r="I274" s="13"/>
    </row>
    <row r="275" spans="1:9" s="11" customFormat="1" ht="15.75" x14ac:dyDescent="0.25">
      <c r="A275" s="39"/>
      <c r="B275" s="32" t="s">
        <v>370</v>
      </c>
      <c r="C275" s="40">
        <f t="shared" si="10"/>
        <v>64532</v>
      </c>
      <c r="D275" s="31"/>
      <c r="E275" s="31"/>
      <c r="F275" s="31"/>
      <c r="G275" s="34">
        <f>'4.pielikums'!B250</f>
        <v>64532</v>
      </c>
      <c r="H275" s="13"/>
      <c r="I275" s="13"/>
    </row>
    <row r="276" spans="1:9" s="11" customFormat="1" ht="15.75" x14ac:dyDescent="0.25">
      <c r="A276" s="39"/>
      <c r="B276" s="32" t="s">
        <v>481</v>
      </c>
      <c r="C276" s="40">
        <f t="shared" si="10"/>
        <v>5627</v>
      </c>
      <c r="D276" s="31"/>
      <c r="E276" s="31"/>
      <c r="F276" s="31"/>
      <c r="G276" s="34">
        <f>'4.pielikums'!B251</f>
        <v>5627</v>
      </c>
      <c r="H276" s="13"/>
      <c r="I276" s="13"/>
    </row>
    <row r="277" spans="1:9" s="11" customFormat="1" ht="31.5" x14ac:dyDescent="0.25">
      <c r="A277" s="39"/>
      <c r="B277" s="32" t="s">
        <v>388</v>
      </c>
      <c r="C277" s="40">
        <f t="shared" si="10"/>
        <v>0</v>
      </c>
      <c r="D277" s="31"/>
      <c r="E277" s="31">
        <v>2496</v>
      </c>
      <c r="F277" s="31"/>
      <c r="G277" s="34">
        <f>'4.pielikums'!B254</f>
        <v>2496</v>
      </c>
      <c r="H277" s="13"/>
      <c r="I277" s="13"/>
    </row>
    <row r="278" spans="1:9" s="11" customFormat="1" ht="34.5" customHeight="1" x14ac:dyDescent="0.25">
      <c r="A278" s="39"/>
      <c r="B278" s="109" t="s">
        <v>113</v>
      </c>
      <c r="C278" s="33">
        <f>SUM(C279:C295)</f>
        <v>195734</v>
      </c>
      <c r="D278" s="33">
        <f t="shared" ref="D278:F278" si="11">SUM(D279:D295)</f>
        <v>37930</v>
      </c>
      <c r="E278" s="33">
        <f t="shared" si="11"/>
        <v>11600</v>
      </c>
      <c r="F278" s="33">
        <f t="shared" si="11"/>
        <v>400000</v>
      </c>
      <c r="G278" s="34">
        <f>SUM(G279:G295)</f>
        <v>645264</v>
      </c>
      <c r="H278" s="13"/>
      <c r="I278" s="13"/>
    </row>
    <row r="279" spans="1:9" s="11" customFormat="1" ht="15.75" x14ac:dyDescent="0.25">
      <c r="A279" s="39"/>
      <c r="B279" s="31" t="s">
        <v>44</v>
      </c>
      <c r="C279" s="31">
        <f>G279-D279</f>
        <v>51430</v>
      </c>
      <c r="D279" s="31">
        <v>37780</v>
      </c>
      <c r="E279" s="31"/>
      <c r="F279" s="31"/>
      <c r="G279" s="34">
        <f>'4.pielikums'!B236</f>
        <v>89210</v>
      </c>
      <c r="H279" s="13"/>
      <c r="I279" s="13"/>
    </row>
    <row r="280" spans="1:9" s="11" customFormat="1" ht="31.5" x14ac:dyDescent="0.25">
      <c r="A280" s="39"/>
      <c r="B280" s="102" t="s">
        <v>55</v>
      </c>
      <c r="C280" s="33">
        <f>49118+2146</f>
        <v>51264</v>
      </c>
      <c r="D280" s="30"/>
      <c r="E280" s="30"/>
      <c r="F280" s="30"/>
      <c r="G280" s="34">
        <f>'4.pielikums'!B270</f>
        <v>51264</v>
      </c>
      <c r="H280" s="13"/>
      <c r="I280" s="13"/>
    </row>
    <row r="281" spans="1:9" s="11" customFormat="1" ht="31.5" x14ac:dyDescent="0.25">
      <c r="A281" s="39"/>
      <c r="B281" s="83" t="s">
        <v>373</v>
      </c>
      <c r="C281" s="40">
        <v>2000</v>
      </c>
      <c r="D281" s="30"/>
      <c r="E281" s="30"/>
      <c r="F281" s="30"/>
      <c r="G281" s="34">
        <f>'4.pielikums'!B269</f>
        <v>2000</v>
      </c>
      <c r="H281" s="13"/>
      <c r="I281" s="13"/>
    </row>
    <row r="282" spans="1:9" s="11" customFormat="1" ht="31.5" x14ac:dyDescent="0.25">
      <c r="A282" s="39"/>
      <c r="B282" s="84" t="s">
        <v>374</v>
      </c>
      <c r="C282" s="31">
        <v>5686</v>
      </c>
      <c r="D282" s="31"/>
      <c r="E282" s="31"/>
      <c r="F282" s="31"/>
      <c r="G282" s="34">
        <f>'4.pielikums'!B267</f>
        <v>5686</v>
      </c>
      <c r="H282" s="13"/>
      <c r="I282" s="13"/>
    </row>
    <row r="283" spans="1:9" s="11" customFormat="1" ht="31.5" x14ac:dyDescent="0.25">
      <c r="A283" s="39"/>
      <c r="B283" s="103" t="s">
        <v>386</v>
      </c>
      <c r="C283" s="31">
        <v>11500</v>
      </c>
      <c r="D283" s="31"/>
      <c r="E283" s="31"/>
      <c r="F283" s="31"/>
      <c r="G283" s="34">
        <f>'4.pielikums'!B266</f>
        <v>11500</v>
      </c>
      <c r="H283" s="13"/>
      <c r="I283" s="13"/>
    </row>
    <row r="284" spans="1:9" s="11" customFormat="1" ht="31.5" x14ac:dyDescent="0.25">
      <c r="A284" s="39"/>
      <c r="B284" s="105" t="s">
        <v>168</v>
      </c>
      <c r="C284" s="31">
        <v>1172</v>
      </c>
      <c r="D284" s="30"/>
      <c r="E284" s="30"/>
      <c r="F284" s="30"/>
      <c r="G284" s="34">
        <f>'4.pielikums'!B271</f>
        <v>1172</v>
      </c>
      <c r="H284" s="13"/>
      <c r="I284" s="13"/>
    </row>
    <row r="285" spans="1:9" ht="27.75" customHeight="1" x14ac:dyDescent="0.25">
      <c r="A285" s="41"/>
      <c r="B285" s="103" t="s">
        <v>377</v>
      </c>
      <c r="C285" s="31">
        <v>31006</v>
      </c>
      <c r="D285" s="31"/>
      <c r="E285" s="31"/>
      <c r="F285" s="31"/>
      <c r="G285" s="34">
        <f>'4.pielikums'!B263</f>
        <v>31006</v>
      </c>
      <c r="H285" s="13"/>
      <c r="I285" s="13"/>
    </row>
    <row r="286" spans="1:9" ht="31.5" x14ac:dyDescent="0.25">
      <c r="A286" s="39"/>
      <c r="B286" s="103" t="s">
        <v>376</v>
      </c>
      <c r="C286" s="31">
        <v>9506</v>
      </c>
      <c r="D286" s="31">
        <v>150</v>
      </c>
      <c r="E286" s="31"/>
      <c r="F286" s="31"/>
      <c r="G286" s="34">
        <f>'4.pielikums'!B264</f>
        <v>9656</v>
      </c>
      <c r="H286" s="13"/>
      <c r="I286" s="13"/>
    </row>
    <row r="287" spans="1:9" ht="15.75" x14ac:dyDescent="0.25">
      <c r="A287" s="41"/>
      <c r="B287" s="103" t="s">
        <v>375</v>
      </c>
      <c r="C287" s="31">
        <v>1493</v>
      </c>
      <c r="D287" s="31"/>
      <c r="E287" s="31"/>
      <c r="F287" s="31"/>
      <c r="G287" s="34">
        <f>'4.pielikums'!B265</f>
        <v>1493</v>
      </c>
      <c r="H287" s="13"/>
      <c r="I287" s="13"/>
    </row>
    <row r="288" spans="1:9" s="11" customFormat="1" ht="37.5" customHeight="1" x14ac:dyDescent="0.25">
      <c r="A288" s="41"/>
      <c r="B288" s="84" t="s">
        <v>372</v>
      </c>
      <c r="C288" s="31">
        <v>3395</v>
      </c>
      <c r="D288" s="31"/>
      <c r="E288" s="31"/>
      <c r="F288" s="31"/>
      <c r="G288" s="34">
        <f>'4.pielikums'!B252</f>
        <v>3395</v>
      </c>
      <c r="H288" s="13"/>
      <c r="I288" s="13"/>
    </row>
    <row r="289" spans="1:9" s="11" customFormat="1" ht="36.75" customHeight="1" x14ac:dyDescent="0.25">
      <c r="A289" s="41"/>
      <c r="B289" s="84" t="s">
        <v>371</v>
      </c>
      <c r="C289" s="31">
        <v>756</v>
      </c>
      <c r="D289" s="31"/>
      <c r="E289" s="31"/>
      <c r="F289" s="31"/>
      <c r="G289" s="34">
        <f>'4.pielikums'!B253</f>
        <v>756</v>
      </c>
      <c r="H289" s="13"/>
      <c r="I289" s="13"/>
    </row>
    <row r="290" spans="1:9" s="11" customFormat="1" ht="36.75" customHeight="1" x14ac:dyDescent="0.25">
      <c r="A290" s="41"/>
      <c r="B290" s="84" t="s">
        <v>430</v>
      </c>
      <c r="C290" s="31"/>
      <c r="D290" s="31"/>
      <c r="E290" s="31">
        <v>800</v>
      </c>
      <c r="F290" s="31"/>
      <c r="G290" s="34">
        <f>'4.pielikums'!B272</f>
        <v>800</v>
      </c>
      <c r="H290" s="13"/>
      <c r="I290" s="13"/>
    </row>
    <row r="291" spans="1:9" s="11" customFormat="1" ht="36.75" customHeight="1" x14ac:dyDescent="0.25">
      <c r="A291" s="41"/>
      <c r="B291" s="84" t="s">
        <v>429</v>
      </c>
      <c r="C291" s="31"/>
      <c r="D291" s="31"/>
      <c r="E291" s="31">
        <v>2800</v>
      </c>
      <c r="F291" s="31"/>
      <c r="G291" s="34">
        <f>'4.pielikums'!B273</f>
        <v>2800</v>
      </c>
      <c r="H291" s="13"/>
      <c r="I291" s="13"/>
    </row>
    <row r="292" spans="1:9" s="11" customFormat="1" ht="36.75" customHeight="1" x14ac:dyDescent="0.25">
      <c r="A292" s="41"/>
      <c r="B292" s="113" t="s">
        <v>493</v>
      </c>
      <c r="C292" s="31">
        <v>6826</v>
      </c>
      <c r="D292" s="31"/>
      <c r="E292" s="31"/>
      <c r="F292" s="31"/>
      <c r="G292" s="34">
        <f>'4.pielikums'!B398</f>
        <v>6826</v>
      </c>
      <c r="H292" s="13"/>
      <c r="I292" s="13"/>
    </row>
    <row r="293" spans="1:9" ht="51.75" customHeight="1" x14ac:dyDescent="0.25">
      <c r="A293" s="41"/>
      <c r="B293" s="83" t="s">
        <v>389</v>
      </c>
      <c r="C293" s="40">
        <v>19700</v>
      </c>
      <c r="D293" s="33"/>
      <c r="E293" s="33"/>
      <c r="F293" s="33"/>
      <c r="G293" s="34">
        <f>'4.pielikums'!B268</f>
        <v>19700</v>
      </c>
      <c r="H293" s="13"/>
      <c r="I293" s="13"/>
    </row>
    <row r="294" spans="1:9" s="11" customFormat="1" ht="37.5" customHeight="1" x14ac:dyDescent="0.25">
      <c r="A294" s="41"/>
      <c r="B294" s="83" t="s">
        <v>509</v>
      </c>
      <c r="C294" s="40"/>
      <c r="D294" s="33"/>
      <c r="E294" s="33"/>
      <c r="F294" s="33">
        <v>400000</v>
      </c>
      <c r="G294" s="34">
        <f>'4.pielikums'!B405</f>
        <v>400000</v>
      </c>
      <c r="H294" s="13"/>
      <c r="I294" s="13"/>
    </row>
    <row r="295" spans="1:9" s="11" customFormat="1" ht="63" x14ac:dyDescent="0.25">
      <c r="A295" s="41"/>
      <c r="B295" s="83" t="s">
        <v>507</v>
      </c>
      <c r="C295" s="40"/>
      <c r="D295" s="33"/>
      <c r="E295" s="40">
        <v>8000</v>
      </c>
      <c r="F295" s="33"/>
      <c r="G295" s="34">
        <f>'4.pielikums'!B404</f>
        <v>8000</v>
      </c>
      <c r="H295" s="13"/>
      <c r="I295" s="13"/>
    </row>
    <row r="296" spans="1:9" ht="15.75" x14ac:dyDescent="0.25">
      <c r="A296" s="41" t="s">
        <v>114</v>
      </c>
      <c r="B296" s="30" t="s">
        <v>115</v>
      </c>
      <c r="C296" s="33">
        <f>C297+C305+C312+C324+C337+C339</f>
        <v>7063667</v>
      </c>
      <c r="D296" s="33">
        <f>D297+D305+D312+D324+D337+D339</f>
        <v>332512</v>
      </c>
      <c r="E296" s="33">
        <f>E297+E305+E312+E324+E337+E339</f>
        <v>5716194</v>
      </c>
      <c r="F296" s="33">
        <f>F297+F305+F312+F324+F337+F339</f>
        <v>0</v>
      </c>
      <c r="G296" s="34">
        <f>G297+G305+G312+G324+G337+G339</f>
        <v>13112373</v>
      </c>
      <c r="H296" s="13"/>
      <c r="I296" s="13"/>
    </row>
    <row r="297" spans="1:9" ht="15.75" x14ac:dyDescent="0.25">
      <c r="A297" s="41"/>
      <c r="B297" s="30" t="s">
        <v>116</v>
      </c>
      <c r="C297" s="33">
        <f>SUM(C298:C303)</f>
        <v>1323374</v>
      </c>
      <c r="D297" s="33">
        <f t="shared" ref="D297:G297" si="12">SUM(D298:D303)</f>
        <v>113936</v>
      </c>
      <c r="E297" s="33">
        <f t="shared" si="12"/>
        <v>377178</v>
      </c>
      <c r="F297" s="33">
        <f t="shared" si="12"/>
        <v>0</v>
      </c>
      <c r="G297" s="34">
        <f t="shared" si="12"/>
        <v>1814488</v>
      </c>
      <c r="H297" s="13"/>
      <c r="I297" s="13"/>
    </row>
    <row r="298" spans="1:9" ht="15.75" x14ac:dyDescent="0.25">
      <c r="A298" s="39"/>
      <c r="B298" s="31" t="s">
        <v>56</v>
      </c>
      <c r="C298" s="40">
        <v>459546</v>
      </c>
      <c r="D298" s="31">
        <v>51800</v>
      </c>
      <c r="E298" s="31">
        <v>141595</v>
      </c>
      <c r="F298" s="31"/>
      <c r="G298" s="34">
        <f>'4.pielikums'!B275</f>
        <v>652941</v>
      </c>
      <c r="H298" s="13"/>
      <c r="I298" s="13"/>
    </row>
    <row r="299" spans="1:9" ht="15.75" x14ac:dyDescent="0.25">
      <c r="A299" s="39"/>
      <c r="B299" s="31" t="s">
        <v>57</v>
      </c>
      <c r="C299" s="31">
        <v>299624</v>
      </c>
      <c r="D299" s="31">
        <v>32200</v>
      </c>
      <c r="E299" s="31">
        <v>68847</v>
      </c>
      <c r="F299" s="31"/>
      <c r="G299" s="34">
        <f>'4.pielikums'!B276</f>
        <v>400671</v>
      </c>
      <c r="H299" s="13"/>
      <c r="I299" s="13"/>
    </row>
    <row r="300" spans="1:9" ht="15.75" x14ac:dyDescent="0.25">
      <c r="A300" s="39"/>
      <c r="B300" s="31" t="s">
        <v>58</v>
      </c>
      <c r="C300" s="31">
        <v>68532</v>
      </c>
      <c r="D300" s="31">
        <v>4325</v>
      </c>
      <c r="E300" s="31">
        <v>10003</v>
      </c>
      <c r="F300" s="31"/>
      <c r="G300" s="34">
        <f>'4.pielikums'!B277</f>
        <v>82860</v>
      </c>
      <c r="H300" s="13"/>
      <c r="I300" s="13"/>
    </row>
    <row r="301" spans="1:9" ht="15.75" x14ac:dyDescent="0.25">
      <c r="A301" s="39"/>
      <c r="B301" s="31" t="s">
        <v>59</v>
      </c>
      <c r="C301" s="31">
        <v>214187</v>
      </c>
      <c r="D301" s="31">
        <v>14251</v>
      </c>
      <c r="E301" s="31">
        <v>43908</v>
      </c>
      <c r="F301" s="31"/>
      <c r="G301" s="34">
        <f>'4.pielikums'!B278</f>
        <v>272346</v>
      </c>
      <c r="H301" s="13"/>
      <c r="I301" s="13"/>
    </row>
    <row r="302" spans="1:9" s="11" customFormat="1" ht="31.5" x14ac:dyDescent="0.25">
      <c r="A302" s="39"/>
      <c r="B302" s="103" t="s">
        <v>410</v>
      </c>
      <c r="C302" s="31">
        <v>129389</v>
      </c>
      <c r="D302" s="31">
        <v>4950</v>
      </c>
      <c r="E302" s="31">
        <v>70918</v>
      </c>
      <c r="F302" s="31"/>
      <c r="G302" s="34">
        <f>'4.pielikums'!B300</f>
        <v>205257</v>
      </c>
      <c r="H302" s="13"/>
      <c r="I302" s="13"/>
    </row>
    <row r="303" spans="1:9" s="11" customFormat="1" ht="31.5" x14ac:dyDescent="0.25">
      <c r="A303" s="39"/>
      <c r="B303" s="103" t="s">
        <v>411</v>
      </c>
      <c r="C303" s="31">
        <v>152096</v>
      </c>
      <c r="D303" s="31">
        <v>6410</v>
      </c>
      <c r="E303" s="31">
        <v>41907</v>
      </c>
      <c r="F303" s="31"/>
      <c r="G303" s="34">
        <f>'4.pielikums'!B301</f>
        <v>200413</v>
      </c>
      <c r="H303" s="13"/>
      <c r="I303" s="13"/>
    </row>
    <row r="304" spans="1:9" ht="31.5" x14ac:dyDescent="0.25">
      <c r="A304" s="41"/>
      <c r="B304" s="102" t="s">
        <v>117</v>
      </c>
      <c r="C304" s="31"/>
      <c r="D304" s="31"/>
      <c r="E304" s="31"/>
      <c r="F304" s="31"/>
      <c r="G304" s="41"/>
      <c r="H304" s="13"/>
      <c r="I304" s="13"/>
    </row>
    <row r="305" spans="1:9" ht="15.75" x14ac:dyDescent="0.25">
      <c r="A305" s="41"/>
      <c r="B305" s="30" t="s">
        <v>118</v>
      </c>
      <c r="C305" s="33">
        <f>SUM(C306:C311)</f>
        <v>1051966</v>
      </c>
      <c r="D305" s="33">
        <f t="shared" ref="D305:E305" si="13">SUM(D306:D311)</f>
        <v>16619</v>
      </c>
      <c r="E305" s="33">
        <f t="shared" si="13"/>
        <v>1394015</v>
      </c>
      <c r="F305" s="33">
        <f>SUM(F306:F311)</f>
        <v>0</v>
      </c>
      <c r="G305" s="34">
        <f t="shared" ref="G305" si="14">SUM(G306:G311)</f>
        <v>2462600</v>
      </c>
      <c r="H305" s="13"/>
      <c r="I305" s="13"/>
    </row>
    <row r="306" spans="1:9" ht="15.75" x14ac:dyDescent="0.25">
      <c r="A306" s="39"/>
      <c r="B306" s="31" t="s">
        <v>199</v>
      </c>
      <c r="C306" s="40">
        <v>296054</v>
      </c>
      <c r="D306" s="31">
        <v>1332</v>
      </c>
      <c r="E306" s="31">
        <f>646415+4424</f>
        <v>650839</v>
      </c>
      <c r="F306" s="31"/>
      <c r="G306" s="34">
        <f>'4.pielikums'!B280</f>
        <v>948225</v>
      </c>
      <c r="H306" s="13"/>
      <c r="I306" s="13"/>
    </row>
    <row r="307" spans="1:9" ht="15.75" x14ac:dyDescent="0.25">
      <c r="A307" s="39"/>
      <c r="B307" s="31" t="s">
        <v>60</v>
      </c>
      <c r="C307" s="40">
        <v>155486</v>
      </c>
      <c r="D307" s="31">
        <v>3619</v>
      </c>
      <c r="E307" s="31">
        <f>242487+1586</f>
        <v>244073</v>
      </c>
      <c r="F307" s="31"/>
      <c r="G307" s="34">
        <f>'4.pielikums'!B281</f>
        <v>403178</v>
      </c>
      <c r="H307" s="13"/>
      <c r="I307" s="13"/>
    </row>
    <row r="308" spans="1:9" ht="15.75" x14ac:dyDescent="0.25">
      <c r="A308" s="39"/>
      <c r="B308" s="31" t="s">
        <v>133</v>
      </c>
      <c r="C308" s="40">
        <f>G308-D308-E308-F308</f>
        <v>76696</v>
      </c>
      <c r="D308" s="31">
        <v>2588</v>
      </c>
      <c r="E308" s="31">
        <v>1569</v>
      </c>
      <c r="F308" s="31"/>
      <c r="G308" s="34">
        <f>'4.pielikums'!B282</f>
        <v>80853</v>
      </c>
      <c r="H308" s="13"/>
      <c r="I308" s="13"/>
    </row>
    <row r="309" spans="1:9" s="11" customFormat="1" ht="15.75" x14ac:dyDescent="0.25">
      <c r="A309" s="39"/>
      <c r="B309" s="31" t="s">
        <v>455</v>
      </c>
      <c r="C309" s="40">
        <v>158704</v>
      </c>
      <c r="D309" s="31">
        <v>5350</v>
      </c>
      <c r="E309" s="31">
        <f>253576+1471</f>
        <v>255047</v>
      </c>
      <c r="F309" s="31"/>
      <c r="G309" s="34">
        <f>'4.pielikums'!B325</f>
        <v>419101</v>
      </c>
      <c r="H309" s="13"/>
      <c r="I309" s="13"/>
    </row>
    <row r="310" spans="1:9" s="11" customFormat="1" ht="15.75" x14ac:dyDescent="0.25">
      <c r="A310" s="39"/>
      <c r="B310" s="103" t="s">
        <v>408</v>
      </c>
      <c r="C310" s="40">
        <v>178472</v>
      </c>
      <c r="D310" s="31">
        <v>2500</v>
      </c>
      <c r="E310" s="31">
        <f>151535+889</f>
        <v>152424</v>
      </c>
      <c r="F310" s="31"/>
      <c r="G310" s="34">
        <f>'4.pielikums'!B306</f>
        <v>333396</v>
      </c>
      <c r="H310" s="13"/>
      <c r="I310" s="13"/>
    </row>
    <row r="311" spans="1:9" s="11" customFormat="1" ht="15.75" x14ac:dyDescent="0.25">
      <c r="A311" s="39"/>
      <c r="B311" s="31" t="s">
        <v>406</v>
      </c>
      <c r="C311" s="40">
        <v>186554</v>
      </c>
      <c r="D311" s="31">
        <v>1230</v>
      </c>
      <c r="E311" s="31">
        <f>89560+503</f>
        <v>90063</v>
      </c>
      <c r="F311" s="31"/>
      <c r="G311" s="34">
        <f>'4.pielikums'!B308</f>
        <v>277847</v>
      </c>
      <c r="H311" s="13"/>
      <c r="I311" s="13"/>
    </row>
    <row r="312" spans="1:9" ht="15.75" x14ac:dyDescent="0.25">
      <c r="A312" s="41"/>
      <c r="B312" s="30" t="s">
        <v>119</v>
      </c>
      <c r="C312" s="33">
        <f>SUM(C313:C323)</f>
        <v>2661511</v>
      </c>
      <c r="D312" s="33">
        <f t="shared" ref="D312:G312" si="15">SUM(D313:D323)</f>
        <v>87848</v>
      </c>
      <c r="E312" s="33">
        <f t="shared" si="15"/>
        <v>2784623</v>
      </c>
      <c r="F312" s="33">
        <f t="shared" si="15"/>
        <v>0</v>
      </c>
      <c r="G312" s="34">
        <f t="shared" si="15"/>
        <v>5533982</v>
      </c>
      <c r="H312" s="13"/>
      <c r="I312" s="13"/>
    </row>
    <row r="313" spans="1:9" ht="15.75" x14ac:dyDescent="0.25">
      <c r="A313" s="39"/>
      <c r="B313" s="31" t="s">
        <v>61</v>
      </c>
      <c r="C313" s="31">
        <f>348143+1285</f>
        <v>349428</v>
      </c>
      <c r="D313" s="31">
        <v>9000</v>
      </c>
      <c r="E313" s="31">
        <f>596871+3965+2146</f>
        <v>602982</v>
      </c>
      <c r="F313" s="31"/>
      <c r="G313" s="34">
        <f>'4.pielikums'!B283</f>
        <v>961410</v>
      </c>
      <c r="H313" s="13"/>
      <c r="I313" s="13"/>
    </row>
    <row r="314" spans="1:9" s="11" customFormat="1" ht="15.75" x14ac:dyDescent="0.25">
      <c r="A314" s="39"/>
      <c r="B314" s="31" t="s">
        <v>427</v>
      </c>
      <c r="C314" s="40">
        <f>G314-D314-E314-F314</f>
        <v>300452</v>
      </c>
      <c r="D314" s="31">
        <v>3383</v>
      </c>
      <c r="E314" s="31">
        <f>311866+2117+2146</f>
        <v>316129</v>
      </c>
      <c r="F314" s="31"/>
      <c r="G314" s="34">
        <f>'4.pielikums'!B309</f>
        <v>619964</v>
      </c>
      <c r="H314" s="13"/>
      <c r="I314" s="13"/>
    </row>
    <row r="315" spans="1:9" ht="31.5" x14ac:dyDescent="0.25">
      <c r="A315" s="39"/>
      <c r="B315" s="32" t="s">
        <v>141</v>
      </c>
      <c r="C315" s="31">
        <v>433416</v>
      </c>
      <c r="D315" s="31">
        <v>21425</v>
      </c>
      <c r="E315" s="31">
        <f>449982+2700</f>
        <v>452682</v>
      </c>
      <c r="F315" s="31"/>
      <c r="G315" s="34">
        <f>'4.pielikums'!B284</f>
        <v>907523</v>
      </c>
      <c r="H315" s="13"/>
      <c r="I315" s="13"/>
    </row>
    <row r="316" spans="1:9" ht="15.75" x14ac:dyDescent="0.25">
      <c r="A316" s="39"/>
      <c r="B316" s="31" t="s">
        <v>492</v>
      </c>
      <c r="C316" s="31">
        <v>247227</v>
      </c>
      <c r="D316" s="31">
        <v>14292</v>
      </c>
      <c r="E316" s="31">
        <f>159958+706</f>
        <v>160664</v>
      </c>
      <c r="F316" s="31"/>
      <c r="G316" s="34">
        <f>'4.pielikums'!B285</f>
        <v>422183</v>
      </c>
      <c r="H316" s="13"/>
      <c r="I316" s="13"/>
    </row>
    <row r="317" spans="1:9" ht="31.5" x14ac:dyDescent="0.25">
      <c r="A317" s="39"/>
      <c r="B317" s="32" t="s">
        <v>191</v>
      </c>
      <c r="C317" s="31">
        <f t="shared" ref="C317:C320" si="16">G317-E317-D317</f>
        <v>49891</v>
      </c>
      <c r="D317" s="31">
        <v>2550</v>
      </c>
      <c r="E317" s="31">
        <v>0</v>
      </c>
      <c r="F317" s="31"/>
      <c r="G317" s="34">
        <f>'4.pielikums'!B286</f>
        <v>52441</v>
      </c>
      <c r="H317" s="13"/>
      <c r="I317" s="13"/>
    </row>
    <row r="318" spans="1:9" ht="15.75" x14ac:dyDescent="0.25">
      <c r="A318" s="39"/>
      <c r="B318" s="31" t="s">
        <v>62</v>
      </c>
      <c r="C318" s="31">
        <v>246999</v>
      </c>
      <c r="D318" s="31">
        <v>10800</v>
      </c>
      <c r="E318" s="31">
        <f>350342+1883</f>
        <v>352225</v>
      </c>
      <c r="F318" s="31"/>
      <c r="G318" s="34">
        <f>'4.pielikums'!B287</f>
        <v>610024</v>
      </c>
      <c r="H318" s="13"/>
      <c r="I318" s="13"/>
    </row>
    <row r="319" spans="1:9" ht="31.5" x14ac:dyDescent="0.25">
      <c r="A319" s="39"/>
      <c r="B319" s="32" t="s">
        <v>166</v>
      </c>
      <c r="C319" s="31">
        <f t="shared" si="16"/>
        <v>53487</v>
      </c>
      <c r="D319" s="31">
        <v>3718</v>
      </c>
      <c r="E319" s="31"/>
      <c r="F319" s="31"/>
      <c r="G319" s="34">
        <f>'4.pielikums'!B288</f>
        <v>57205</v>
      </c>
      <c r="H319" s="13"/>
      <c r="I319" s="13"/>
    </row>
    <row r="320" spans="1:9" ht="31.5" x14ac:dyDescent="0.25">
      <c r="A320" s="39"/>
      <c r="B320" s="32" t="s">
        <v>165</v>
      </c>
      <c r="C320" s="31">
        <f t="shared" si="16"/>
        <v>102455</v>
      </c>
      <c r="D320" s="31">
        <v>9850</v>
      </c>
      <c r="E320" s="31"/>
      <c r="F320" s="31"/>
      <c r="G320" s="34">
        <f>'4.pielikums'!B279</f>
        <v>112305</v>
      </c>
      <c r="H320" s="13"/>
      <c r="I320" s="13"/>
    </row>
    <row r="321" spans="1:10" s="11" customFormat="1" ht="15.75" x14ac:dyDescent="0.25">
      <c r="A321" s="39"/>
      <c r="B321" s="32" t="s">
        <v>407</v>
      </c>
      <c r="C321" s="31">
        <v>176629</v>
      </c>
      <c r="D321" s="31">
        <v>7550</v>
      </c>
      <c r="E321" s="31">
        <f>338995+1332</f>
        <v>340327</v>
      </c>
      <c r="F321" s="31"/>
      <c r="G321" s="34">
        <f>'4.pielikums'!B307</f>
        <v>524506</v>
      </c>
      <c r="H321" s="13"/>
      <c r="I321" s="13"/>
    </row>
    <row r="322" spans="1:10" s="11" customFormat="1" ht="15.75" x14ac:dyDescent="0.25">
      <c r="A322" s="39"/>
      <c r="B322" s="32" t="s">
        <v>508</v>
      </c>
      <c r="C322" s="31">
        <v>388883</v>
      </c>
      <c r="D322" s="31">
        <v>5280</v>
      </c>
      <c r="E322" s="31">
        <f>361418+2475</f>
        <v>363893</v>
      </c>
      <c r="F322" s="31"/>
      <c r="G322" s="34">
        <f>'4.pielikums'!B326</f>
        <v>758056</v>
      </c>
      <c r="H322" s="13"/>
      <c r="I322" s="13"/>
    </row>
    <row r="323" spans="1:10" s="11" customFormat="1" ht="15.75" x14ac:dyDescent="0.25">
      <c r="A323" s="39"/>
      <c r="B323" s="32" t="s">
        <v>425</v>
      </c>
      <c r="C323" s="31">
        <v>312644</v>
      </c>
      <c r="D323" s="31"/>
      <c r="E323" s="31">
        <f>194429+1292</f>
        <v>195721</v>
      </c>
      <c r="F323" s="31"/>
      <c r="G323" s="34">
        <f>'4.pielikums'!B342+'4.pielikums'!B340+'4.pielikums'!B339</f>
        <v>508365</v>
      </c>
      <c r="H323" s="13"/>
      <c r="I323" s="13"/>
    </row>
    <row r="324" spans="1:10" ht="31.5" x14ac:dyDescent="0.25">
      <c r="A324" s="44"/>
      <c r="B324" s="102" t="s">
        <v>120</v>
      </c>
      <c r="C324" s="33">
        <f>SUM(C325:C336)</f>
        <v>887667</v>
      </c>
      <c r="D324" s="33">
        <f t="shared" ref="D324:G324" si="17">SUM(D325:D336)</f>
        <v>108894</v>
      </c>
      <c r="E324" s="33">
        <f t="shared" si="17"/>
        <v>838443</v>
      </c>
      <c r="F324" s="33">
        <f t="shared" si="17"/>
        <v>0</v>
      </c>
      <c r="G324" s="34">
        <f t="shared" si="17"/>
        <v>1835004</v>
      </c>
      <c r="H324" s="13"/>
      <c r="I324" s="13"/>
    </row>
    <row r="325" spans="1:10" ht="15.75" x14ac:dyDescent="0.25">
      <c r="A325" s="39"/>
      <c r="B325" s="31" t="s">
        <v>63</v>
      </c>
      <c r="C325" s="40">
        <v>143348</v>
      </c>
      <c r="D325" s="31">
        <v>19445</v>
      </c>
      <c r="E325" s="31">
        <v>336554</v>
      </c>
      <c r="F325" s="31"/>
      <c r="G325" s="34">
        <f>'4.pielikums'!B289</f>
        <v>499347</v>
      </c>
      <c r="H325" s="13"/>
      <c r="I325" s="13"/>
    </row>
    <row r="326" spans="1:10" ht="15.75" x14ac:dyDescent="0.25">
      <c r="A326" s="39"/>
      <c r="B326" s="31" t="s">
        <v>64</v>
      </c>
      <c r="C326" s="40">
        <v>97435</v>
      </c>
      <c r="D326" s="31">
        <v>12150</v>
      </c>
      <c r="E326" s="31">
        <v>46075</v>
      </c>
      <c r="F326" s="31"/>
      <c r="G326" s="34">
        <f>'4.pielikums'!B290</f>
        <v>155660</v>
      </c>
      <c r="H326" s="13"/>
      <c r="I326" s="13"/>
    </row>
    <row r="327" spans="1:10" ht="15.75" x14ac:dyDescent="0.25">
      <c r="A327" s="39"/>
      <c r="B327" s="31" t="s">
        <v>65</v>
      </c>
      <c r="C327" s="40">
        <v>220948</v>
      </c>
      <c r="D327" s="31">
        <v>6400</v>
      </c>
      <c r="E327" s="31">
        <v>142117</v>
      </c>
      <c r="F327" s="31"/>
      <c r="G327" s="34">
        <f>'4.pielikums'!B291</f>
        <v>369465</v>
      </c>
      <c r="H327" s="13"/>
      <c r="I327" s="13"/>
      <c r="J327" s="13"/>
    </row>
    <row r="328" spans="1:10" ht="15.75" x14ac:dyDescent="0.25">
      <c r="A328" s="39"/>
      <c r="B328" s="31" t="s">
        <v>121</v>
      </c>
      <c r="C328" s="40">
        <v>115803</v>
      </c>
      <c r="D328" s="31">
        <v>63675</v>
      </c>
      <c r="E328" s="31"/>
      <c r="F328" s="31"/>
      <c r="G328" s="34">
        <f>'4.pielikums'!B292</f>
        <v>179478</v>
      </c>
      <c r="H328" s="13"/>
      <c r="I328" s="13"/>
    </row>
    <row r="329" spans="1:10" s="11" customFormat="1" ht="31.5" x14ac:dyDescent="0.25">
      <c r="A329" s="39"/>
      <c r="B329" s="103" t="s">
        <v>404</v>
      </c>
      <c r="C329" s="40">
        <v>44210</v>
      </c>
      <c r="D329" s="31"/>
      <c r="E329" s="31"/>
      <c r="F329" s="31"/>
      <c r="G329" s="34">
        <f>'4.pielikums'!B310</f>
        <v>44210</v>
      </c>
      <c r="H329" s="13"/>
      <c r="I329" s="13"/>
    </row>
    <row r="330" spans="1:10" s="11" customFormat="1" ht="31.5" x14ac:dyDescent="0.25">
      <c r="A330" s="39"/>
      <c r="B330" s="103" t="s">
        <v>403</v>
      </c>
      <c r="C330" s="40">
        <v>0</v>
      </c>
      <c r="D330" s="31"/>
      <c r="E330" s="31">
        <v>60388</v>
      </c>
      <c r="F330" s="31"/>
      <c r="G330" s="34">
        <f>'4.pielikums'!B311</f>
        <v>60388</v>
      </c>
      <c r="H330" s="13"/>
      <c r="I330" s="13"/>
    </row>
    <row r="331" spans="1:10" s="11" customFormat="1" ht="15.75" x14ac:dyDescent="0.25">
      <c r="A331" s="39"/>
      <c r="B331" s="103" t="s">
        <v>402</v>
      </c>
      <c r="C331" s="31">
        <v>28844</v>
      </c>
      <c r="D331" s="31">
        <v>3872</v>
      </c>
      <c r="E331" s="31">
        <v>1356</v>
      </c>
      <c r="F331" s="31"/>
      <c r="G331" s="34">
        <f>'4.pielikums'!B312</f>
        <v>34072</v>
      </c>
      <c r="H331" s="13"/>
      <c r="I331" s="13"/>
    </row>
    <row r="332" spans="1:10" s="11" customFormat="1" ht="31.5" x14ac:dyDescent="0.25">
      <c r="A332" s="39"/>
      <c r="B332" s="103" t="s">
        <v>401</v>
      </c>
      <c r="C332" s="31">
        <v>0</v>
      </c>
      <c r="D332" s="31"/>
      <c r="E332" s="31">
        <v>119039</v>
      </c>
      <c r="F332" s="31"/>
      <c r="G332" s="34">
        <f>'4.pielikums'!B313</f>
        <v>119039</v>
      </c>
      <c r="H332" s="13"/>
      <c r="I332" s="13"/>
    </row>
    <row r="333" spans="1:10" s="11" customFormat="1" ht="29.25" customHeight="1" x14ac:dyDescent="0.25">
      <c r="A333" s="39"/>
      <c r="B333" s="83" t="s">
        <v>422</v>
      </c>
      <c r="C333" s="40">
        <v>91863</v>
      </c>
      <c r="D333" s="31"/>
      <c r="E333" s="31">
        <v>60991</v>
      </c>
      <c r="F333" s="31"/>
      <c r="G333" s="34">
        <f>'4.pielikums'!B345</f>
        <v>152854</v>
      </c>
      <c r="H333" s="13"/>
      <c r="I333" s="13"/>
    </row>
    <row r="334" spans="1:10" ht="15.75" x14ac:dyDescent="0.25">
      <c r="A334" s="39"/>
      <c r="B334" s="31" t="s">
        <v>66</v>
      </c>
      <c r="C334" s="31">
        <v>70101</v>
      </c>
      <c r="D334" s="31">
        <v>2352</v>
      </c>
      <c r="E334" s="31">
        <v>35220</v>
      </c>
      <c r="F334" s="31"/>
      <c r="G334" s="34">
        <f>'4.pielikums'!B293</f>
        <v>107673</v>
      </c>
      <c r="H334" s="13"/>
      <c r="I334" s="13"/>
    </row>
    <row r="335" spans="1:10" s="11" customFormat="1" ht="15.75" x14ac:dyDescent="0.25">
      <c r="A335" s="39"/>
      <c r="B335" s="110" t="s">
        <v>413</v>
      </c>
      <c r="C335" s="31">
        <v>52429</v>
      </c>
      <c r="D335" s="31">
        <v>1000</v>
      </c>
      <c r="E335" s="31">
        <v>36703</v>
      </c>
      <c r="F335" s="31"/>
      <c r="G335" s="34">
        <f>'4.pielikums'!B327</f>
        <v>90132</v>
      </c>
      <c r="H335" s="13"/>
      <c r="I335" s="13"/>
    </row>
    <row r="336" spans="1:10" s="11" customFormat="1" ht="31.5" x14ac:dyDescent="0.25">
      <c r="A336" s="39"/>
      <c r="B336" s="110" t="s">
        <v>414</v>
      </c>
      <c r="C336" s="31">
        <f t="shared" ref="C336" si="18">G336-E336-D336</f>
        <v>22686</v>
      </c>
      <c r="D336" s="31"/>
      <c r="E336" s="31"/>
      <c r="F336" s="31"/>
      <c r="G336" s="34">
        <f>'4.pielikums'!B328</f>
        <v>22686</v>
      </c>
      <c r="H336" s="13"/>
      <c r="I336" s="13"/>
    </row>
    <row r="337" spans="1:9" ht="15.75" x14ac:dyDescent="0.25">
      <c r="A337" s="41"/>
      <c r="B337" s="102" t="s">
        <v>122</v>
      </c>
      <c r="C337" s="33">
        <f>C338</f>
        <v>136409</v>
      </c>
      <c r="D337" s="33">
        <f>D338</f>
        <v>200</v>
      </c>
      <c r="E337" s="33">
        <f>E338</f>
        <v>769</v>
      </c>
      <c r="F337" s="33">
        <f>F338</f>
        <v>0</v>
      </c>
      <c r="G337" s="34">
        <f>G338</f>
        <v>137378</v>
      </c>
      <c r="H337" s="13"/>
      <c r="I337" s="13"/>
    </row>
    <row r="338" spans="1:9" ht="33.75" customHeight="1" x14ac:dyDescent="0.25">
      <c r="A338" s="38"/>
      <c r="B338" s="83" t="s">
        <v>139</v>
      </c>
      <c r="C338" s="40">
        <f>G338-D338-E338</f>
        <v>136409</v>
      </c>
      <c r="D338" s="31">
        <v>200</v>
      </c>
      <c r="E338" s="31">
        <v>769</v>
      </c>
      <c r="F338" s="31"/>
      <c r="G338" s="34">
        <f>'4.pielikums'!B294</f>
        <v>137378</v>
      </c>
      <c r="H338" s="13"/>
      <c r="I338" s="13"/>
    </row>
    <row r="339" spans="1:9" ht="31.5" x14ac:dyDescent="0.25">
      <c r="A339" s="43"/>
      <c r="B339" s="102" t="s">
        <v>123</v>
      </c>
      <c r="C339" s="33">
        <f>SUM(C340:C390)</f>
        <v>1002740</v>
      </c>
      <c r="D339" s="33">
        <f t="shared" ref="D339:F339" si="19">SUM(D340:D390)</f>
        <v>5015</v>
      </c>
      <c r="E339" s="33">
        <f t="shared" si="19"/>
        <v>321166</v>
      </c>
      <c r="F339" s="33">
        <f t="shared" si="19"/>
        <v>0</v>
      </c>
      <c r="G339" s="34">
        <f>SUM(G340:G390)</f>
        <v>1328921</v>
      </c>
      <c r="H339" s="13"/>
      <c r="I339" s="13"/>
    </row>
    <row r="340" spans="1:9" ht="31.5" x14ac:dyDescent="0.25">
      <c r="A340" s="31"/>
      <c r="B340" s="83" t="s">
        <v>68</v>
      </c>
      <c r="C340" s="40">
        <f>G340-D340-E340-F340</f>
        <v>34901</v>
      </c>
      <c r="D340" s="31">
        <v>4025</v>
      </c>
      <c r="E340" s="31"/>
      <c r="F340" s="31"/>
      <c r="G340" s="34">
        <f>'4.pielikums'!B295</f>
        <v>38926</v>
      </c>
      <c r="H340" s="13"/>
      <c r="I340" s="13"/>
    </row>
    <row r="341" spans="1:9" s="11" customFormat="1" ht="15.75" x14ac:dyDescent="0.25">
      <c r="A341" s="31"/>
      <c r="B341" s="83" t="s">
        <v>164</v>
      </c>
      <c r="C341" s="40">
        <f t="shared" ref="C341:C386" si="20">G341-D341-E341-F341</f>
        <v>8404</v>
      </c>
      <c r="D341" s="31"/>
      <c r="E341" s="31">
        <f>6957+12868</f>
        <v>19825</v>
      </c>
      <c r="F341" s="31"/>
      <c r="G341" s="34">
        <f>'4.pielikums'!B305</f>
        <v>28229</v>
      </c>
      <c r="H341" s="13"/>
      <c r="I341" s="13"/>
    </row>
    <row r="342" spans="1:9" s="11" customFormat="1" ht="15.75" x14ac:dyDescent="0.25">
      <c r="A342" s="31"/>
      <c r="B342" s="103" t="s">
        <v>428</v>
      </c>
      <c r="C342" s="40">
        <f t="shared" si="20"/>
        <v>11500</v>
      </c>
      <c r="D342" s="31"/>
      <c r="E342" s="31"/>
      <c r="F342" s="31"/>
      <c r="G342" s="34">
        <f>'4.pielikums'!B314</f>
        <v>11500</v>
      </c>
      <c r="H342" s="13"/>
      <c r="I342" s="13"/>
    </row>
    <row r="343" spans="1:9" s="11" customFormat="1" ht="15.75" x14ac:dyDescent="0.25">
      <c r="A343" s="31"/>
      <c r="B343" s="103" t="s">
        <v>399</v>
      </c>
      <c r="C343" s="40">
        <f t="shared" si="20"/>
        <v>19522</v>
      </c>
      <c r="D343" s="31"/>
      <c r="E343" s="31"/>
      <c r="F343" s="31"/>
      <c r="G343" s="34">
        <f>'4.pielikums'!B315</f>
        <v>19522</v>
      </c>
      <c r="H343" s="13"/>
      <c r="I343" s="13"/>
    </row>
    <row r="344" spans="1:9" s="11" customFormat="1" ht="15.75" x14ac:dyDescent="0.25">
      <c r="A344" s="31"/>
      <c r="B344" s="103" t="s">
        <v>398</v>
      </c>
      <c r="C344" s="40">
        <f t="shared" si="20"/>
        <v>16031</v>
      </c>
      <c r="D344" s="31">
        <v>300</v>
      </c>
      <c r="E344" s="31"/>
      <c r="F344" s="31"/>
      <c r="G344" s="34">
        <f>'4.pielikums'!B316</f>
        <v>16331</v>
      </c>
      <c r="H344" s="13"/>
      <c r="I344" s="13"/>
    </row>
    <row r="345" spans="1:9" s="11" customFormat="1" ht="15.75" x14ac:dyDescent="0.25">
      <c r="A345" s="31"/>
      <c r="B345" s="103" t="s">
        <v>397</v>
      </c>
      <c r="C345" s="40">
        <f t="shared" si="20"/>
        <v>2107</v>
      </c>
      <c r="D345" s="31"/>
      <c r="E345" s="31"/>
      <c r="F345" s="31"/>
      <c r="G345" s="34">
        <f>'4.pielikums'!B317</f>
        <v>2107</v>
      </c>
      <c r="H345" s="13"/>
      <c r="I345" s="13"/>
    </row>
    <row r="346" spans="1:9" s="11" customFormat="1" ht="15.75" x14ac:dyDescent="0.25">
      <c r="A346" s="31"/>
      <c r="B346" s="103" t="s">
        <v>396</v>
      </c>
      <c r="C346" s="40">
        <f t="shared" si="20"/>
        <v>11139</v>
      </c>
      <c r="D346" s="31">
        <v>200</v>
      </c>
      <c r="E346" s="31"/>
      <c r="F346" s="31"/>
      <c r="G346" s="34">
        <f>'4.pielikums'!B318</f>
        <v>11339</v>
      </c>
      <c r="H346" s="13"/>
      <c r="I346" s="13"/>
    </row>
    <row r="347" spans="1:9" s="11" customFormat="1" ht="31.5" x14ac:dyDescent="0.25">
      <c r="A347" s="31"/>
      <c r="B347" s="103" t="s">
        <v>395</v>
      </c>
      <c r="C347" s="40">
        <f t="shared" si="20"/>
        <v>26502</v>
      </c>
      <c r="D347" s="31">
        <v>200</v>
      </c>
      <c r="E347" s="31"/>
      <c r="F347" s="31"/>
      <c r="G347" s="34">
        <f>'4.pielikums'!B319</f>
        <v>26702</v>
      </c>
      <c r="H347" s="13"/>
      <c r="I347" s="13"/>
    </row>
    <row r="348" spans="1:9" s="11" customFormat="1" ht="15.75" x14ac:dyDescent="0.25">
      <c r="A348" s="31"/>
      <c r="B348" s="103" t="s">
        <v>394</v>
      </c>
      <c r="C348" s="40">
        <f t="shared" si="20"/>
        <v>14619</v>
      </c>
      <c r="D348" s="31">
        <v>290</v>
      </c>
      <c r="E348" s="31"/>
      <c r="F348" s="31"/>
      <c r="G348" s="34">
        <f>'4.pielikums'!B320</f>
        <v>14909</v>
      </c>
      <c r="H348" s="13"/>
      <c r="I348" s="13"/>
    </row>
    <row r="349" spans="1:9" s="11" customFormat="1" ht="31.5" x14ac:dyDescent="0.25">
      <c r="A349" s="31"/>
      <c r="B349" s="103" t="s">
        <v>393</v>
      </c>
      <c r="C349" s="40">
        <f>G349-D349-E349-F349</f>
        <v>54992</v>
      </c>
      <c r="D349" s="31"/>
      <c r="E349" s="31"/>
      <c r="F349" s="31"/>
      <c r="G349" s="34">
        <f>'4.pielikums'!B321</f>
        <v>54992</v>
      </c>
      <c r="H349" s="13"/>
      <c r="I349" s="13"/>
    </row>
    <row r="350" spans="1:9" s="11" customFormat="1" ht="31.5" x14ac:dyDescent="0.25">
      <c r="A350" s="31"/>
      <c r="B350" s="103" t="s">
        <v>392</v>
      </c>
      <c r="C350" s="40">
        <f t="shared" si="20"/>
        <v>38134</v>
      </c>
      <c r="D350" s="31"/>
      <c r="E350" s="31"/>
      <c r="F350" s="31"/>
      <c r="G350" s="34">
        <f>'4.pielikums'!B322</f>
        <v>38134</v>
      </c>
      <c r="H350" s="13"/>
      <c r="I350" s="13"/>
    </row>
    <row r="351" spans="1:9" s="11" customFormat="1" ht="31.5" x14ac:dyDescent="0.25">
      <c r="A351" s="31"/>
      <c r="B351" s="103" t="s">
        <v>391</v>
      </c>
      <c r="C351" s="40">
        <f t="shared" si="20"/>
        <v>1080</v>
      </c>
      <c r="D351" s="31"/>
      <c r="E351" s="31"/>
      <c r="F351" s="31"/>
      <c r="G351" s="34">
        <f>'4.pielikums'!B323</f>
        <v>1080</v>
      </c>
      <c r="H351" s="13"/>
      <c r="I351" s="13"/>
    </row>
    <row r="352" spans="1:9" s="11" customFormat="1" ht="31.5" x14ac:dyDescent="0.25">
      <c r="A352" s="31"/>
      <c r="B352" s="103" t="s">
        <v>390</v>
      </c>
      <c r="C352" s="40">
        <f t="shared" si="20"/>
        <v>820</v>
      </c>
      <c r="D352" s="31"/>
      <c r="E352" s="31"/>
      <c r="F352" s="31"/>
      <c r="G352" s="34">
        <f>'4.pielikums'!B324</f>
        <v>820</v>
      </c>
      <c r="H352" s="13"/>
      <c r="I352" s="13"/>
    </row>
    <row r="353" spans="1:10" s="11" customFormat="1" ht="15.75" x14ac:dyDescent="0.25">
      <c r="A353" s="31"/>
      <c r="B353" s="83" t="s">
        <v>443</v>
      </c>
      <c r="C353" s="40">
        <f t="shared" si="20"/>
        <v>14054</v>
      </c>
      <c r="D353" s="31"/>
      <c r="E353" s="31"/>
      <c r="F353" s="31"/>
      <c r="G353" s="34">
        <f>'4.pielikums'!B347</f>
        <v>14054</v>
      </c>
      <c r="H353" s="13"/>
      <c r="I353" s="13"/>
    </row>
    <row r="354" spans="1:10" s="11" customFormat="1" ht="31.5" x14ac:dyDescent="0.25">
      <c r="A354" s="31"/>
      <c r="B354" s="83" t="s">
        <v>442</v>
      </c>
      <c r="C354" s="40">
        <f>G354-D354-E354-F354</f>
        <v>250</v>
      </c>
      <c r="D354" s="31"/>
      <c r="E354" s="31"/>
      <c r="F354" s="31"/>
      <c r="G354" s="34">
        <f>'4.pielikums'!B348</f>
        <v>250</v>
      </c>
      <c r="H354" s="13"/>
      <c r="I354" s="13"/>
    </row>
    <row r="355" spans="1:10" s="11" customFormat="1" ht="31.5" x14ac:dyDescent="0.25">
      <c r="A355" s="31"/>
      <c r="B355" s="32" t="s">
        <v>441</v>
      </c>
      <c r="C355" s="40">
        <f t="shared" si="20"/>
        <v>677</v>
      </c>
      <c r="D355" s="31"/>
      <c r="E355" s="31"/>
      <c r="F355" s="31"/>
      <c r="G355" s="34">
        <f>'4.pielikums'!B349</f>
        <v>677</v>
      </c>
      <c r="H355" s="13"/>
      <c r="I355" s="13"/>
    </row>
    <row r="356" spans="1:10" s="11" customFormat="1" ht="56.25" customHeight="1" x14ac:dyDescent="0.25">
      <c r="A356" s="38"/>
      <c r="B356" s="83" t="s">
        <v>200</v>
      </c>
      <c r="C356" s="40">
        <f>G356-D356-E356-F356</f>
        <v>23141</v>
      </c>
      <c r="D356" s="31"/>
      <c r="E356" s="31"/>
      <c r="F356" s="31"/>
      <c r="G356" s="34">
        <f>'4.pielikums'!B384</f>
        <v>23141</v>
      </c>
      <c r="H356" s="13"/>
      <c r="I356" s="13"/>
    </row>
    <row r="357" spans="1:10" s="11" customFormat="1" ht="15.75" x14ac:dyDescent="0.25">
      <c r="A357" s="38"/>
      <c r="B357" s="117" t="s">
        <v>169</v>
      </c>
      <c r="C357" s="40">
        <f t="shared" si="20"/>
        <v>4424</v>
      </c>
      <c r="D357" s="31"/>
      <c r="E357" s="31">
        <v>0</v>
      </c>
      <c r="F357" s="31">
        <v>0</v>
      </c>
      <c r="G357" s="34">
        <f>'4.pielikums'!B382</f>
        <v>4424</v>
      </c>
      <c r="H357" s="13"/>
      <c r="I357" s="13"/>
    </row>
    <row r="358" spans="1:10" s="11" customFormat="1" ht="31.5" x14ac:dyDescent="0.25">
      <c r="A358" s="38"/>
      <c r="B358" s="84" t="s">
        <v>162</v>
      </c>
      <c r="C358" s="40">
        <f t="shared" si="20"/>
        <v>26838</v>
      </c>
      <c r="D358" s="31"/>
      <c r="E358" s="31"/>
      <c r="F358" s="31"/>
      <c r="G358" s="34">
        <f>'4.pielikums'!B386</f>
        <v>26838</v>
      </c>
      <c r="H358" s="13"/>
      <c r="I358" s="13"/>
    </row>
    <row r="359" spans="1:10" s="11" customFormat="1" ht="78.75" x14ac:dyDescent="0.25">
      <c r="A359" s="38"/>
      <c r="B359" s="84" t="s">
        <v>201</v>
      </c>
      <c r="C359" s="40">
        <f t="shared" si="20"/>
        <v>12936</v>
      </c>
      <c r="D359" s="31"/>
      <c r="E359" s="31">
        <v>0</v>
      </c>
      <c r="F359" s="31"/>
      <c r="G359" s="34">
        <f>'4.pielikums'!B383</f>
        <v>12936</v>
      </c>
      <c r="H359" s="13"/>
      <c r="I359" s="13"/>
    </row>
    <row r="360" spans="1:10" s="11" customFormat="1" ht="54.75" customHeight="1" x14ac:dyDescent="0.25">
      <c r="A360" s="38"/>
      <c r="B360" s="32" t="s">
        <v>204</v>
      </c>
      <c r="C360" s="40">
        <f t="shared" si="20"/>
        <v>17160</v>
      </c>
      <c r="D360" s="31"/>
      <c r="E360" s="31"/>
      <c r="F360" s="31">
        <v>0</v>
      </c>
      <c r="G360" s="34">
        <f>'4.pielikums'!B385</f>
        <v>17160</v>
      </c>
      <c r="H360" s="13"/>
      <c r="I360" s="13"/>
    </row>
    <row r="361" spans="1:10" s="11" customFormat="1" ht="47.25" x14ac:dyDescent="0.25">
      <c r="A361" s="38"/>
      <c r="B361" s="105" t="s">
        <v>203</v>
      </c>
      <c r="C361" s="40">
        <f t="shared" si="20"/>
        <v>23784</v>
      </c>
      <c r="D361" s="31"/>
      <c r="E361" s="31">
        <v>0</v>
      </c>
      <c r="F361" s="40">
        <v>0</v>
      </c>
      <c r="G361" s="34">
        <f>'4.pielikums'!B389</f>
        <v>23784</v>
      </c>
      <c r="H361" s="13"/>
      <c r="I361" s="13"/>
    </row>
    <row r="362" spans="1:10" s="11" customFormat="1" ht="63" x14ac:dyDescent="0.25">
      <c r="A362" s="38"/>
      <c r="B362" s="105" t="s">
        <v>210</v>
      </c>
      <c r="C362" s="40">
        <f>G362-D362-E362-F362</f>
        <v>10430</v>
      </c>
      <c r="D362" s="31"/>
      <c r="E362" s="31"/>
      <c r="F362" s="40"/>
      <c r="G362" s="34">
        <f>'4.pielikums'!B397</f>
        <v>10430</v>
      </c>
      <c r="H362" s="13"/>
      <c r="I362" s="13"/>
    </row>
    <row r="363" spans="1:10" s="11" customFormat="1" ht="31.5" x14ac:dyDescent="0.25">
      <c r="A363" s="38"/>
      <c r="B363" s="110" t="s">
        <v>418</v>
      </c>
      <c r="C363" s="40">
        <f t="shared" si="20"/>
        <v>2349</v>
      </c>
      <c r="D363" s="31"/>
      <c r="E363" s="31"/>
      <c r="F363" s="40"/>
      <c r="G363" s="34">
        <f>'4.pielikums'!B336</f>
        <v>2349</v>
      </c>
      <c r="H363" s="13"/>
      <c r="I363" s="13"/>
    </row>
    <row r="364" spans="1:10" s="11" customFormat="1" ht="31.5" x14ac:dyDescent="0.25">
      <c r="A364" s="38"/>
      <c r="B364" s="110" t="s">
        <v>419</v>
      </c>
      <c r="C364" s="40">
        <f t="shared" si="20"/>
        <v>16372</v>
      </c>
      <c r="D364" s="31"/>
      <c r="E364" s="31"/>
      <c r="F364" s="40"/>
      <c r="G364" s="34">
        <f>'4.pielikums'!B337</f>
        <v>16372</v>
      </c>
      <c r="H364" s="13"/>
      <c r="I364" s="13"/>
    </row>
    <row r="365" spans="1:10" s="11" customFormat="1" ht="58.5" customHeight="1" x14ac:dyDescent="0.25">
      <c r="A365" s="38"/>
      <c r="B365" s="83" t="s">
        <v>437</v>
      </c>
      <c r="C365" s="40">
        <v>13219</v>
      </c>
      <c r="D365" s="31"/>
      <c r="E365" s="31">
        <v>5449</v>
      </c>
      <c r="F365" s="31">
        <v>0</v>
      </c>
      <c r="G365" s="34">
        <f>'4.pielikums'!B381</f>
        <v>18668</v>
      </c>
      <c r="H365" s="13"/>
      <c r="I365" s="13"/>
      <c r="J365" s="13"/>
    </row>
    <row r="366" spans="1:10" s="11" customFormat="1" ht="46.15" customHeight="1" x14ac:dyDescent="0.25">
      <c r="A366" s="38"/>
      <c r="B366" s="103" t="s">
        <v>435</v>
      </c>
      <c r="C366" s="40">
        <v>0</v>
      </c>
      <c r="D366" s="31"/>
      <c r="E366" s="31">
        <v>5360</v>
      </c>
      <c r="F366" s="31"/>
      <c r="G366" s="34">
        <f>'4.pielikums'!B303</f>
        <v>5360</v>
      </c>
      <c r="H366" s="13"/>
      <c r="I366" s="13"/>
    </row>
    <row r="367" spans="1:10" s="11" customFormat="1" ht="46.15" customHeight="1" x14ac:dyDescent="0.25">
      <c r="A367" s="38"/>
      <c r="B367" s="103" t="s">
        <v>450</v>
      </c>
      <c r="C367" s="40">
        <f t="shared" si="20"/>
        <v>4186</v>
      </c>
      <c r="D367" s="31"/>
      <c r="E367" s="31">
        <v>569</v>
      </c>
      <c r="F367" s="31"/>
      <c r="G367" s="34">
        <f>'4.pielikums'!B333</f>
        <v>4755</v>
      </c>
      <c r="H367" s="13"/>
      <c r="I367" s="13"/>
    </row>
    <row r="368" spans="1:10" s="11" customFormat="1" ht="15.75" x14ac:dyDescent="0.25">
      <c r="A368" s="38"/>
      <c r="B368" s="83" t="s">
        <v>438</v>
      </c>
      <c r="C368" s="40">
        <f t="shared" si="20"/>
        <v>875</v>
      </c>
      <c r="D368" s="31"/>
      <c r="E368" s="31">
        <v>2483</v>
      </c>
      <c r="F368" s="31"/>
      <c r="G368" s="34">
        <f>'4.pielikums'!B388</f>
        <v>3358</v>
      </c>
      <c r="H368" s="13"/>
      <c r="I368" s="13"/>
    </row>
    <row r="369" spans="1:9" s="11" customFormat="1" ht="15.75" x14ac:dyDescent="0.25">
      <c r="A369" s="38"/>
      <c r="B369" s="83" t="s">
        <v>130</v>
      </c>
      <c r="C369" s="40">
        <f t="shared" si="20"/>
        <v>8500</v>
      </c>
      <c r="D369" s="31"/>
      <c r="E369" s="31">
        <v>7436</v>
      </c>
      <c r="F369" s="31"/>
      <c r="G369" s="34">
        <f>'4.pielikums'!B299</f>
        <v>15936</v>
      </c>
      <c r="H369" s="13"/>
      <c r="I369" s="13"/>
    </row>
    <row r="370" spans="1:9" s="11" customFormat="1" ht="47.25" x14ac:dyDescent="0.25">
      <c r="A370" s="38"/>
      <c r="B370" s="83" t="s">
        <v>433</v>
      </c>
      <c r="C370" s="40">
        <f t="shared" si="20"/>
        <v>34084</v>
      </c>
      <c r="D370" s="31"/>
      <c r="E370" s="31">
        <f>45426+13635</f>
        <v>59061</v>
      </c>
      <c r="F370" s="31"/>
      <c r="G370" s="34">
        <f>'4.pielikums'!B298</f>
        <v>93145</v>
      </c>
      <c r="H370" s="13"/>
      <c r="I370" s="13"/>
    </row>
    <row r="371" spans="1:9" s="11" customFormat="1" ht="47.25" x14ac:dyDescent="0.25">
      <c r="A371" s="38"/>
      <c r="B371" s="103" t="s">
        <v>434</v>
      </c>
      <c r="C371" s="40">
        <f t="shared" si="20"/>
        <v>0</v>
      </c>
      <c r="D371" s="31"/>
      <c r="E371" s="31">
        <v>63520</v>
      </c>
      <c r="F371" s="31"/>
      <c r="G371" s="34">
        <f>'4.pielikums'!B302</f>
        <v>63520</v>
      </c>
      <c r="H371" s="13"/>
      <c r="I371" s="13"/>
    </row>
    <row r="372" spans="1:9" s="11" customFormat="1" ht="47.25" x14ac:dyDescent="0.25">
      <c r="A372" s="38"/>
      <c r="B372" s="83" t="s">
        <v>445</v>
      </c>
      <c r="C372" s="40">
        <f t="shared" si="20"/>
        <v>0</v>
      </c>
      <c r="D372" s="31"/>
      <c r="E372" s="31">
        <v>12262</v>
      </c>
      <c r="F372" s="31"/>
      <c r="G372" s="34">
        <f>'4.pielikums'!B343</f>
        <v>12262</v>
      </c>
      <c r="H372" s="13"/>
      <c r="I372" s="13"/>
    </row>
    <row r="373" spans="1:9" s="11" customFormat="1" ht="47.25" x14ac:dyDescent="0.25">
      <c r="A373" s="38"/>
      <c r="B373" s="83" t="s">
        <v>444</v>
      </c>
      <c r="C373" s="40">
        <f>G373-D373-E373-F373</f>
        <v>12052</v>
      </c>
      <c r="D373" s="31"/>
      <c r="E373" s="31">
        <v>12760</v>
      </c>
      <c r="F373" s="31"/>
      <c r="G373" s="34">
        <f>'4.pielikums'!B334</f>
        <v>24812</v>
      </c>
      <c r="H373" s="13"/>
      <c r="I373" s="13"/>
    </row>
    <row r="374" spans="1:9" s="11" customFormat="1" ht="47.25" x14ac:dyDescent="0.25">
      <c r="A374" s="38"/>
      <c r="B374" s="83" t="s">
        <v>440</v>
      </c>
      <c r="C374" s="40">
        <f t="shared" si="20"/>
        <v>18129</v>
      </c>
      <c r="D374" s="31"/>
      <c r="E374" s="31">
        <v>39217</v>
      </c>
      <c r="F374" s="31"/>
      <c r="G374" s="34">
        <f>'4.pielikums'!B387</f>
        <v>57346</v>
      </c>
      <c r="H374" s="13"/>
      <c r="I374" s="13"/>
    </row>
    <row r="375" spans="1:9" s="11" customFormat="1" ht="47.25" x14ac:dyDescent="0.25">
      <c r="A375" s="38"/>
      <c r="B375" s="103" t="s">
        <v>436</v>
      </c>
      <c r="C375" s="40">
        <f t="shared" si="20"/>
        <v>0</v>
      </c>
      <c r="D375" s="31"/>
      <c r="E375" s="31">
        <v>37780</v>
      </c>
      <c r="F375" s="31"/>
      <c r="G375" s="34">
        <f>'4.pielikums'!B304</f>
        <v>37780</v>
      </c>
      <c r="H375" s="13"/>
      <c r="I375" s="13"/>
    </row>
    <row r="376" spans="1:9" s="11" customFormat="1" ht="47.25" x14ac:dyDescent="0.25">
      <c r="A376" s="38"/>
      <c r="B376" s="98" t="s">
        <v>446</v>
      </c>
      <c r="C376" s="40">
        <f t="shared" si="20"/>
        <v>0</v>
      </c>
      <c r="D376" s="31"/>
      <c r="E376" s="31">
        <v>7001</v>
      </c>
      <c r="F376" s="31"/>
      <c r="G376" s="34">
        <f>'4.pielikums'!B341</f>
        <v>7001</v>
      </c>
      <c r="H376" s="13"/>
      <c r="I376" s="13"/>
    </row>
    <row r="377" spans="1:9" s="11" customFormat="1" ht="47.25" x14ac:dyDescent="0.25">
      <c r="A377" s="38"/>
      <c r="B377" s="98" t="s">
        <v>449</v>
      </c>
      <c r="C377" s="40">
        <f t="shared" si="20"/>
        <v>4998</v>
      </c>
      <c r="D377" s="31"/>
      <c r="E377" s="31">
        <v>4677</v>
      </c>
      <c r="F377" s="31"/>
      <c r="G377" s="34">
        <f>'4.pielikums'!B335</f>
        <v>9675</v>
      </c>
      <c r="H377" s="13"/>
      <c r="I377" s="13"/>
    </row>
    <row r="378" spans="1:9" s="11" customFormat="1" ht="31.5" x14ac:dyDescent="0.25">
      <c r="A378" s="38"/>
      <c r="B378" s="84" t="s">
        <v>431</v>
      </c>
      <c r="C378" s="40">
        <f>G378-D378-E378-F378</f>
        <v>130</v>
      </c>
      <c r="D378" s="31"/>
      <c r="E378" s="31">
        <v>900</v>
      </c>
      <c r="F378" s="31"/>
      <c r="G378" s="34">
        <f>'4.pielikums'!B274</f>
        <v>1030</v>
      </c>
      <c r="H378" s="13"/>
      <c r="I378" s="13"/>
    </row>
    <row r="379" spans="1:9" s="11" customFormat="1" ht="31.5" x14ac:dyDescent="0.25">
      <c r="A379" s="38"/>
      <c r="B379" s="83" t="s">
        <v>421</v>
      </c>
      <c r="C379" s="40">
        <f t="shared" si="20"/>
        <v>0</v>
      </c>
      <c r="D379" s="31"/>
      <c r="E379" s="31">
        <v>1668</v>
      </c>
      <c r="F379" s="31"/>
      <c r="G379" s="34">
        <f>'4.pielikums'!B346</f>
        <v>1668</v>
      </c>
      <c r="H379" s="13"/>
      <c r="I379" s="13"/>
    </row>
    <row r="380" spans="1:9" s="11" customFormat="1" ht="31.5" x14ac:dyDescent="0.25">
      <c r="A380" s="38"/>
      <c r="B380" s="83" t="s">
        <v>448</v>
      </c>
      <c r="C380" s="40">
        <f t="shared" si="20"/>
        <v>26254</v>
      </c>
      <c r="D380" s="31"/>
      <c r="E380" s="31"/>
      <c r="F380" s="31"/>
      <c r="G380" s="34">
        <f>'4.pielikums'!B338</f>
        <v>26254</v>
      </c>
      <c r="H380" s="13"/>
      <c r="I380" s="13"/>
    </row>
    <row r="381" spans="1:9" s="11" customFormat="1" ht="47.25" x14ac:dyDescent="0.25">
      <c r="A381" s="38"/>
      <c r="B381" s="83" t="s">
        <v>451</v>
      </c>
      <c r="C381" s="40">
        <f t="shared" si="20"/>
        <v>5100</v>
      </c>
      <c r="D381" s="31"/>
      <c r="E381" s="31"/>
      <c r="F381" s="31"/>
      <c r="G381" s="34">
        <f>'4.pielikums'!B332</f>
        <v>5100</v>
      </c>
      <c r="H381" s="13"/>
      <c r="I381" s="13"/>
    </row>
    <row r="382" spans="1:9" s="11" customFormat="1" ht="15.75" x14ac:dyDescent="0.25">
      <c r="A382" s="38"/>
      <c r="B382" s="110" t="s">
        <v>452</v>
      </c>
      <c r="C382" s="40">
        <f t="shared" si="20"/>
        <v>45246</v>
      </c>
      <c r="D382" s="31"/>
      <c r="E382" s="31"/>
      <c r="F382" s="31"/>
      <c r="G382" s="34">
        <f>'4.pielikums'!B331</f>
        <v>45246</v>
      </c>
      <c r="H382" s="13"/>
      <c r="I382" s="13"/>
    </row>
    <row r="383" spans="1:9" s="11" customFormat="1" ht="31.5" x14ac:dyDescent="0.25">
      <c r="A383" s="38"/>
      <c r="B383" s="110" t="s">
        <v>453</v>
      </c>
      <c r="C383" s="40">
        <f t="shared" si="20"/>
        <v>57744</v>
      </c>
      <c r="D383" s="31"/>
      <c r="E383" s="31"/>
      <c r="F383" s="31"/>
      <c r="G383" s="34">
        <f>'4.pielikums'!B329</f>
        <v>57744</v>
      </c>
      <c r="H383" s="13"/>
      <c r="I383" s="13"/>
    </row>
    <row r="384" spans="1:9" s="11" customFormat="1" ht="31.5" x14ac:dyDescent="0.25">
      <c r="A384" s="38"/>
      <c r="B384" s="110" t="s">
        <v>454</v>
      </c>
      <c r="C384" s="40">
        <f t="shared" si="20"/>
        <v>1200</v>
      </c>
      <c r="D384" s="31"/>
      <c r="E384" s="31"/>
      <c r="F384" s="31"/>
      <c r="G384" s="34">
        <f>'4.pielikums'!B330</f>
        <v>1200</v>
      </c>
      <c r="H384" s="13"/>
      <c r="I384" s="13"/>
    </row>
    <row r="385" spans="1:9" ht="31.5" x14ac:dyDescent="0.25">
      <c r="A385" s="39"/>
      <c r="B385" s="83" t="s">
        <v>195</v>
      </c>
      <c r="C385" s="40">
        <f>G385-D385-E385-F385</f>
        <v>371114</v>
      </c>
      <c r="D385" s="31"/>
      <c r="E385" s="31"/>
      <c r="F385" s="31"/>
      <c r="G385" s="34">
        <f>'4.pielikums'!B297</f>
        <v>371114</v>
      </c>
      <c r="H385" s="13"/>
      <c r="I385" s="13"/>
    </row>
    <row r="386" spans="1:9" ht="31.5" x14ac:dyDescent="0.25">
      <c r="A386" s="39"/>
      <c r="B386" s="83" t="s">
        <v>124</v>
      </c>
      <c r="C386" s="40">
        <f t="shared" si="20"/>
        <v>7743</v>
      </c>
      <c r="D386" s="31"/>
      <c r="E386" s="31"/>
      <c r="F386" s="31"/>
      <c r="G386" s="34">
        <f>'4.pielikums'!B296</f>
        <v>7743</v>
      </c>
      <c r="H386" s="13"/>
      <c r="I386" s="13"/>
    </row>
    <row r="387" spans="1:9" s="11" customFormat="1" ht="15.75" x14ac:dyDescent="0.25">
      <c r="A387" s="39"/>
      <c r="B387" s="83" t="s">
        <v>512</v>
      </c>
      <c r="C387" s="40"/>
      <c r="D387" s="31"/>
      <c r="E387" s="31">
        <v>19696</v>
      </c>
      <c r="F387" s="31"/>
      <c r="G387" s="34">
        <f>'4.pielikums'!B408</f>
        <v>19696</v>
      </c>
      <c r="H387" s="13"/>
      <c r="I387" s="13"/>
    </row>
    <row r="388" spans="1:9" s="11" customFormat="1" ht="31.5" x14ac:dyDescent="0.25">
      <c r="A388" s="39"/>
      <c r="B388" s="83" t="s">
        <v>515</v>
      </c>
      <c r="C388" s="40"/>
      <c r="D388" s="31"/>
      <c r="E388" s="31">
        <v>6502</v>
      </c>
      <c r="F388" s="31"/>
      <c r="G388" s="34">
        <f>'4.pielikums'!B409</f>
        <v>6502</v>
      </c>
      <c r="H388" s="13"/>
      <c r="I388" s="13"/>
    </row>
    <row r="389" spans="1:9" s="11" customFormat="1" ht="15.75" x14ac:dyDescent="0.25">
      <c r="A389" s="39"/>
      <c r="B389" s="83" t="s">
        <v>513</v>
      </c>
      <c r="C389" s="40"/>
      <c r="D389" s="31"/>
      <c r="E389" s="31">
        <v>10000</v>
      </c>
      <c r="F389" s="31"/>
      <c r="G389" s="34">
        <f>'4.pielikums'!B410</f>
        <v>10000</v>
      </c>
      <c r="H389" s="13"/>
      <c r="I389" s="13"/>
    </row>
    <row r="390" spans="1:9" s="11" customFormat="1" ht="54.75" customHeight="1" x14ac:dyDescent="0.25">
      <c r="A390" s="39"/>
      <c r="B390" s="83" t="s">
        <v>505</v>
      </c>
      <c r="C390" s="40"/>
      <c r="D390" s="31"/>
      <c r="E390" s="31">
        <v>5000</v>
      </c>
      <c r="F390" s="31"/>
      <c r="G390" s="34">
        <f>'4.pielikums'!B403</f>
        <v>5000</v>
      </c>
      <c r="H390" s="13"/>
      <c r="I390" s="13"/>
    </row>
    <row r="391" spans="1:9" ht="15.75" x14ac:dyDescent="0.25">
      <c r="A391" s="41" t="s">
        <v>125</v>
      </c>
      <c r="B391" s="30" t="s">
        <v>126</v>
      </c>
      <c r="C391" s="33">
        <f>C392+C393</f>
        <v>2675180</v>
      </c>
      <c r="D391" s="33">
        <f>D392+D393</f>
        <v>997934</v>
      </c>
      <c r="E391" s="33">
        <f>E392+E393</f>
        <v>819067</v>
      </c>
      <c r="F391" s="33">
        <f>F392+F393</f>
        <v>51738</v>
      </c>
      <c r="G391" s="34">
        <f>G392+G393</f>
        <v>4543919</v>
      </c>
      <c r="H391" s="13"/>
      <c r="I391" s="13"/>
    </row>
    <row r="392" spans="1:9" ht="15.75" x14ac:dyDescent="0.25">
      <c r="A392" s="41"/>
      <c r="B392" s="31" t="s">
        <v>71</v>
      </c>
      <c r="C392" s="40">
        <f>G392-D392-E392-F392</f>
        <v>225514</v>
      </c>
      <c r="D392" s="31">
        <v>9300</v>
      </c>
      <c r="E392" s="31"/>
      <c r="F392" s="31"/>
      <c r="G392" s="34">
        <f>'4.pielikums'!B355</f>
        <v>234814</v>
      </c>
      <c r="H392" s="13"/>
      <c r="I392" s="13"/>
    </row>
    <row r="393" spans="1:9" ht="47.25" x14ac:dyDescent="0.25">
      <c r="A393" s="43"/>
      <c r="B393" s="102" t="s">
        <v>127</v>
      </c>
      <c r="C393" s="33">
        <f>SUM(C394:C430)</f>
        <v>2449666</v>
      </c>
      <c r="D393" s="33">
        <f>SUM(D394:D430)</f>
        <v>988634</v>
      </c>
      <c r="E393" s="33">
        <f>SUM(E394:E430)</f>
        <v>819067</v>
      </c>
      <c r="F393" s="33">
        <f>SUM(F394:F430)</f>
        <v>51738</v>
      </c>
      <c r="G393" s="34">
        <f>SUM(G394:G430)</f>
        <v>4309105</v>
      </c>
      <c r="H393" s="13"/>
      <c r="I393" s="13"/>
    </row>
    <row r="394" spans="1:9" ht="15.75" x14ac:dyDescent="0.25">
      <c r="A394" s="41"/>
      <c r="B394" s="31" t="s">
        <v>457</v>
      </c>
      <c r="C394" s="40">
        <f>G394-D394-E394-F394</f>
        <v>402175</v>
      </c>
      <c r="D394" s="31">
        <v>7644</v>
      </c>
      <c r="E394" s="31">
        <v>0</v>
      </c>
      <c r="F394" s="31"/>
      <c r="G394" s="34">
        <f>'4.pielikums'!B356</f>
        <v>409819</v>
      </c>
      <c r="H394" s="13"/>
      <c r="I394" s="13"/>
    </row>
    <row r="395" spans="1:9" s="11" customFormat="1" ht="15.75" x14ac:dyDescent="0.25">
      <c r="A395" s="41"/>
      <c r="B395" s="31" t="s">
        <v>459</v>
      </c>
      <c r="C395" s="40">
        <f t="shared" ref="C395:C430" si="21">G395-D395-E395-F395</f>
        <v>106929</v>
      </c>
      <c r="D395" s="31">
        <v>1135</v>
      </c>
      <c r="E395" s="31">
        <v>17845</v>
      </c>
      <c r="F395" s="31"/>
      <c r="G395" s="34">
        <f>'4.pielikums'!B357</f>
        <v>125909</v>
      </c>
      <c r="H395" s="13"/>
      <c r="I395" s="13"/>
    </row>
    <row r="396" spans="1:9" ht="15.75" x14ac:dyDescent="0.25">
      <c r="A396" s="41"/>
      <c r="B396" s="31" t="s">
        <v>482</v>
      </c>
      <c r="C396" s="40">
        <f t="shared" si="21"/>
        <v>422517</v>
      </c>
      <c r="D396" s="31"/>
      <c r="E396" s="31">
        <v>7483</v>
      </c>
      <c r="F396" s="31"/>
      <c r="G396" s="34">
        <f>'4.pielikums'!B360</f>
        <v>430000</v>
      </c>
      <c r="H396" s="13"/>
      <c r="I396" s="13"/>
    </row>
    <row r="397" spans="1:9" s="11" customFormat="1" ht="15.75" x14ac:dyDescent="0.25">
      <c r="A397" s="41"/>
      <c r="B397" s="84" t="s">
        <v>483</v>
      </c>
      <c r="C397" s="40">
        <f t="shared" si="21"/>
        <v>161876</v>
      </c>
      <c r="D397" s="31"/>
      <c r="E397" s="31"/>
      <c r="F397" s="31"/>
      <c r="G397" s="34">
        <f>'4.pielikums'!B361</f>
        <v>161876</v>
      </c>
      <c r="H397" s="13"/>
      <c r="I397" s="13"/>
    </row>
    <row r="398" spans="1:9" s="11" customFormat="1" ht="15.75" x14ac:dyDescent="0.25">
      <c r="A398" s="41"/>
      <c r="B398" s="84" t="s">
        <v>484</v>
      </c>
      <c r="C398" s="40">
        <f t="shared" si="21"/>
        <v>74801</v>
      </c>
      <c r="D398" s="31"/>
      <c r="E398" s="31"/>
      <c r="F398" s="31"/>
      <c r="G398" s="34">
        <f>'4.pielikums'!B362</f>
        <v>74801</v>
      </c>
      <c r="H398" s="13"/>
      <c r="I398" s="13"/>
    </row>
    <row r="399" spans="1:9" s="11" customFormat="1" ht="15.75" x14ac:dyDescent="0.25">
      <c r="A399" s="41"/>
      <c r="B399" s="84" t="s">
        <v>485</v>
      </c>
      <c r="C399" s="40">
        <f t="shared" si="21"/>
        <v>49591</v>
      </c>
      <c r="D399" s="31"/>
      <c r="E399" s="31"/>
      <c r="F399" s="31"/>
      <c r="G399" s="34">
        <f>'4.pielikums'!B363</f>
        <v>49591</v>
      </c>
      <c r="H399" s="13"/>
      <c r="I399" s="13"/>
    </row>
    <row r="400" spans="1:9" ht="15.75" x14ac:dyDescent="0.25">
      <c r="A400" s="41"/>
      <c r="B400" s="31" t="s">
        <v>73</v>
      </c>
      <c r="C400" s="40">
        <f t="shared" si="21"/>
        <v>12375</v>
      </c>
      <c r="D400" s="31">
        <v>10800</v>
      </c>
      <c r="E400" s="31"/>
      <c r="F400" s="31"/>
      <c r="G400" s="34">
        <f>'4.pielikums'!B358</f>
        <v>23175</v>
      </c>
      <c r="H400" s="13"/>
      <c r="I400" s="13"/>
    </row>
    <row r="401" spans="1:9" ht="15.75" x14ac:dyDescent="0.25">
      <c r="A401" s="41"/>
      <c r="B401" s="31" t="s">
        <v>161</v>
      </c>
      <c r="C401" s="40">
        <f t="shared" si="21"/>
        <v>42132</v>
      </c>
      <c r="D401" s="31">
        <v>9222</v>
      </c>
      <c r="E401" s="31"/>
      <c r="F401" s="31"/>
      <c r="G401" s="34">
        <f>'4.pielikums'!B359</f>
        <v>51354</v>
      </c>
      <c r="H401" s="13"/>
      <c r="I401" s="13"/>
    </row>
    <row r="402" spans="1:9" ht="15.75" x14ac:dyDescent="0.25">
      <c r="A402" s="39"/>
      <c r="B402" s="31" t="s">
        <v>70</v>
      </c>
      <c r="C402" s="40">
        <f t="shared" si="21"/>
        <v>624338</v>
      </c>
      <c r="D402" s="31">
        <v>603652</v>
      </c>
      <c r="E402" s="31">
        <v>145440</v>
      </c>
      <c r="F402" s="31"/>
      <c r="G402" s="34">
        <f>'4.pielikums'!B350</f>
        <v>1373430</v>
      </c>
      <c r="H402" s="13"/>
      <c r="I402" s="13"/>
    </row>
    <row r="403" spans="1:9" s="11" customFormat="1" ht="15.75" x14ac:dyDescent="0.25">
      <c r="A403" s="39"/>
      <c r="B403" s="32" t="s">
        <v>280</v>
      </c>
      <c r="C403" s="40">
        <f t="shared" si="21"/>
        <v>94403</v>
      </c>
      <c r="D403" s="31">
        <v>134882</v>
      </c>
      <c r="E403" s="31">
        <v>6360</v>
      </c>
      <c r="F403" s="31"/>
      <c r="G403" s="34">
        <f>'4.pielikums'!B351</f>
        <v>235645</v>
      </c>
      <c r="H403" s="13"/>
      <c r="I403" s="13"/>
    </row>
    <row r="404" spans="1:9" s="11" customFormat="1" ht="15.75" x14ac:dyDescent="0.25">
      <c r="A404" s="39"/>
      <c r="B404" s="84" t="s">
        <v>282</v>
      </c>
      <c r="C404" s="40">
        <f t="shared" si="21"/>
        <v>78634</v>
      </c>
      <c r="D404" s="31">
        <v>98930</v>
      </c>
      <c r="E404" s="31">
        <v>17750</v>
      </c>
      <c r="F404" s="31"/>
      <c r="G404" s="34">
        <f>'4.pielikums'!B352</f>
        <v>195314</v>
      </c>
      <c r="H404" s="13"/>
      <c r="I404" s="13"/>
    </row>
    <row r="405" spans="1:9" s="11" customFormat="1" ht="15.75" x14ac:dyDescent="0.25">
      <c r="A405" s="39"/>
      <c r="B405" s="84" t="s">
        <v>281</v>
      </c>
      <c r="C405" s="40">
        <f t="shared" si="21"/>
        <v>125151</v>
      </c>
      <c r="D405" s="31">
        <v>111030</v>
      </c>
      <c r="E405" s="31">
        <v>18900</v>
      </c>
      <c r="F405" s="31"/>
      <c r="G405" s="34">
        <f>'4.pielikums'!B353</f>
        <v>255081</v>
      </c>
      <c r="H405" s="13"/>
      <c r="I405" s="13"/>
    </row>
    <row r="406" spans="1:9" s="11" customFormat="1" ht="31.5" x14ac:dyDescent="0.25">
      <c r="A406" s="39"/>
      <c r="B406" s="84" t="s">
        <v>486</v>
      </c>
      <c r="C406" s="40">
        <f t="shared" si="21"/>
        <v>2436</v>
      </c>
      <c r="D406" s="31">
        <v>3971</v>
      </c>
      <c r="E406" s="31"/>
      <c r="F406" s="31"/>
      <c r="G406" s="34">
        <f>'4.pielikums'!B366</f>
        <v>6407</v>
      </c>
      <c r="H406" s="13"/>
      <c r="I406" s="13"/>
    </row>
    <row r="407" spans="1:9" s="11" customFormat="1" ht="31.5" x14ac:dyDescent="0.25">
      <c r="A407" s="39"/>
      <c r="B407" s="84" t="s">
        <v>487</v>
      </c>
      <c r="C407" s="40">
        <f t="shared" si="21"/>
        <v>0</v>
      </c>
      <c r="D407" s="31">
        <v>1100</v>
      </c>
      <c r="E407" s="31"/>
      <c r="F407" s="31"/>
      <c r="G407" s="34">
        <f>'4.pielikums'!B367</f>
        <v>1100</v>
      </c>
      <c r="H407" s="13"/>
      <c r="I407" s="13"/>
    </row>
    <row r="408" spans="1:9" s="11" customFormat="1" ht="31.5" x14ac:dyDescent="0.25">
      <c r="A408" s="39"/>
      <c r="B408" s="84" t="s">
        <v>488</v>
      </c>
      <c r="C408" s="40">
        <f t="shared" si="21"/>
        <v>5700</v>
      </c>
      <c r="D408" s="31"/>
      <c r="E408" s="31"/>
      <c r="F408" s="31"/>
      <c r="G408" s="34">
        <f>'4.pielikums'!B368</f>
        <v>5700</v>
      </c>
      <c r="H408" s="13"/>
      <c r="I408" s="13"/>
    </row>
    <row r="409" spans="1:9" s="11" customFormat="1" ht="15.75" x14ac:dyDescent="0.25">
      <c r="A409" s="39"/>
      <c r="B409" s="84" t="s">
        <v>456</v>
      </c>
      <c r="C409" s="40">
        <f t="shared" si="21"/>
        <v>0</v>
      </c>
      <c r="D409" s="31">
        <v>1900</v>
      </c>
      <c r="E409" s="31"/>
      <c r="F409" s="31"/>
      <c r="G409" s="34">
        <f>'4.pielikums'!B354</f>
        <v>1900</v>
      </c>
      <c r="H409" s="13"/>
      <c r="I409" s="13"/>
    </row>
    <row r="410" spans="1:9" s="11" customFormat="1" ht="15.75" x14ac:dyDescent="0.25">
      <c r="A410" s="39"/>
      <c r="B410" s="110" t="s">
        <v>462</v>
      </c>
      <c r="C410" s="40">
        <f t="shared" si="21"/>
        <v>37552</v>
      </c>
      <c r="D410" s="31"/>
      <c r="E410" s="31">
        <v>20050</v>
      </c>
      <c r="F410" s="31"/>
      <c r="G410" s="34">
        <f>'4.pielikums'!B374</f>
        <v>57602</v>
      </c>
      <c r="H410" s="13"/>
      <c r="I410" s="13"/>
    </row>
    <row r="411" spans="1:9" s="11" customFormat="1" ht="15.75" x14ac:dyDescent="0.25">
      <c r="A411" s="39"/>
      <c r="B411" s="110" t="s">
        <v>463</v>
      </c>
      <c r="C411" s="40">
        <f t="shared" si="21"/>
        <v>9964</v>
      </c>
      <c r="D411" s="31">
        <v>1200</v>
      </c>
      <c r="E411" s="31"/>
      <c r="F411" s="31"/>
      <c r="G411" s="34">
        <f>'4.pielikums'!B375</f>
        <v>11164</v>
      </c>
      <c r="H411" s="13"/>
      <c r="I411" s="13"/>
    </row>
    <row r="412" spans="1:9" s="11" customFormat="1" ht="31.5" x14ac:dyDescent="0.25">
      <c r="A412" s="39"/>
      <c r="B412" s="110" t="s">
        <v>464</v>
      </c>
      <c r="C412" s="40">
        <f t="shared" si="21"/>
        <v>3764</v>
      </c>
      <c r="D412" s="31">
        <v>600</v>
      </c>
      <c r="E412" s="31"/>
      <c r="F412" s="31"/>
      <c r="G412" s="34">
        <f>'4.pielikums'!B376</f>
        <v>4364</v>
      </c>
      <c r="H412" s="13"/>
      <c r="I412" s="13"/>
    </row>
    <row r="413" spans="1:9" s="11" customFormat="1" ht="15.75" x14ac:dyDescent="0.25">
      <c r="A413" s="39"/>
      <c r="B413" s="110" t="s">
        <v>465</v>
      </c>
      <c r="C413" s="40">
        <f t="shared" si="21"/>
        <v>300</v>
      </c>
      <c r="D413" s="31"/>
      <c r="E413" s="31"/>
      <c r="F413" s="31"/>
      <c r="G413" s="34">
        <f>'4.pielikums'!B377</f>
        <v>300</v>
      </c>
      <c r="H413" s="13"/>
      <c r="I413" s="13"/>
    </row>
    <row r="414" spans="1:9" s="11" customFormat="1" ht="94.5" x14ac:dyDescent="0.25">
      <c r="A414" s="39"/>
      <c r="B414" s="118" t="s">
        <v>460</v>
      </c>
      <c r="C414" s="40">
        <f t="shared" si="21"/>
        <v>0</v>
      </c>
      <c r="D414" s="31"/>
      <c r="E414" s="31">
        <v>14784</v>
      </c>
      <c r="F414" s="31"/>
      <c r="G414" s="34">
        <f>'4.pielikums'!B378</f>
        <v>14784</v>
      </c>
      <c r="H414" s="13"/>
      <c r="I414" s="13"/>
    </row>
    <row r="415" spans="1:9" s="11" customFormat="1" ht="15.75" x14ac:dyDescent="0.25">
      <c r="A415" s="39"/>
      <c r="B415" s="110" t="s">
        <v>461</v>
      </c>
      <c r="C415" s="40">
        <f t="shared" si="21"/>
        <v>8797</v>
      </c>
      <c r="D415" s="31"/>
      <c r="E415" s="31">
        <v>70440</v>
      </c>
      <c r="F415" s="31"/>
      <c r="G415" s="34">
        <f>'4.pielikums'!B379</f>
        <v>79237</v>
      </c>
      <c r="H415" s="13"/>
      <c r="I415" s="13"/>
    </row>
    <row r="416" spans="1:9" s="11" customFormat="1" ht="15.75" x14ac:dyDescent="0.25">
      <c r="A416" s="39"/>
      <c r="B416" s="111" t="s">
        <v>466</v>
      </c>
      <c r="C416" s="40">
        <f t="shared" si="21"/>
        <v>32844</v>
      </c>
      <c r="D416" s="31"/>
      <c r="E416" s="31"/>
      <c r="F416" s="31"/>
      <c r="G416" s="34">
        <f>'4.pielikums'!B380</f>
        <v>32844</v>
      </c>
      <c r="H416" s="13"/>
      <c r="I416" s="13"/>
    </row>
    <row r="417" spans="1:9" ht="15.75" x14ac:dyDescent="0.25">
      <c r="A417" s="39"/>
      <c r="B417" s="32" t="s">
        <v>135</v>
      </c>
      <c r="C417" s="40">
        <f t="shared" si="21"/>
        <v>1400</v>
      </c>
      <c r="D417" s="31"/>
      <c r="E417" s="31"/>
      <c r="F417" s="31"/>
      <c r="G417" s="34">
        <f>'4.pielikums'!B392</f>
        <v>1400</v>
      </c>
      <c r="H417" s="13"/>
      <c r="I417" s="13"/>
    </row>
    <row r="418" spans="1:9" s="11" customFormat="1" ht="15.75" x14ac:dyDescent="0.25">
      <c r="A418" s="39"/>
      <c r="B418" s="32" t="s">
        <v>152</v>
      </c>
      <c r="C418" s="40">
        <f t="shared" si="21"/>
        <v>500</v>
      </c>
      <c r="D418" s="31"/>
      <c r="E418" s="31"/>
      <c r="F418" s="31"/>
      <c r="G418" s="34">
        <f>'4.pielikums'!B391</f>
        <v>500</v>
      </c>
      <c r="H418" s="13"/>
      <c r="I418" s="13"/>
    </row>
    <row r="419" spans="1:9" ht="31.5" x14ac:dyDescent="0.25">
      <c r="A419" s="39"/>
      <c r="B419" s="83" t="s">
        <v>145</v>
      </c>
      <c r="C419" s="40">
        <f t="shared" si="21"/>
        <v>150</v>
      </c>
      <c r="D419" s="31"/>
      <c r="E419" s="31"/>
      <c r="F419" s="31"/>
      <c r="G419" s="34">
        <f>'4.pielikums'!B393</f>
        <v>150</v>
      </c>
      <c r="H419" s="13"/>
      <c r="I419" s="13"/>
    </row>
    <row r="420" spans="1:9" ht="31.5" x14ac:dyDescent="0.25">
      <c r="A420" s="39"/>
      <c r="B420" s="32" t="s">
        <v>136</v>
      </c>
      <c r="C420" s="40">
        <f t="shared" si="21"/>
        <v>1320</v>
      </c>
      <c r="D420" s="31"/>
      <c r="E420" s="31"/>
      <c r="F420" s="31"/>
      <c r="G420" s="34">
        <f>'4.pielikums'!B394</f>
        <v>1320</v>
      </c>
      <c r="H420" s="13"/>
      <c r="I420" s="13"/>
    </row>
    <row r="421" spans="1:9" ht="31.5" x14ac:dyDescent="0.25">
      <c r="A421" s="39"/>
      <c r="B421" s="32" t="s">
        <v>137</v>
      </c>
      <c r="C421" s="40">
        <f t="shared" si="21"/>
        <v>1400</v>
      </c>
      <c r="D421" s="31"/>
      <c r="E421" s="31"/>
      <c r="F421" s="31"/>
      <c r="G421" s="34">
        <f>'4.pielikums'!B395</f>
        <v>1400</v>
      </c>
      <c r="H421" s="13"/>
      <c r="I421" s="13"/>
    </row>
    <row r="422" spans="1:9" ht="31.5" x14ac:dyDescent="0.25">
      <c r="A422" s="39"/>
      <c r="B422" s="83" t="s">
        <v>128</v>
      </c>
      <c r="C422" s="40">
        <f t="shared" si="21"/>
        <v>0</v>
      </c>
      <c r="D422" s="31"/>
      <c r="E422" s="31">
        <v>179094</v>
      </c>
      <c r="F422" s="31"/>
      <c r="G422" s="34">
        <f>'4.pielikums'!B370</f>
        <v>179094</v>
      </c>
      <c r="H422" s="13"/>
      <c r="I422" s="13"/>
    </row>
    <row r="423" spans="1:9" s="11" customFormat="1" ht="31.5" x14ac:dyDescent="0.25">
      <c r="A423" s="39"/>
      <c r="B423" s="83" t="s">
        <v>205</v>
      </c>
      <c r="C423" s="40">
        <f t="shared" si="21"/>
        <v>29465</v>
      </c>
      <c r="D423" s="31"/>
      <c r="E423" s="31"/>
      <c r="F423" s="31"/>
      <c r="G423" s="34">
        <f>'4.pielikums'!B369</f>
        <v>29465</v>
      </c>
      <c r="H423" s="13"/>
      <c r="I423" s="13"/>
    </row>
    <row r="424" spans="1:9" s="11" customFormat="1" ht="31.5" x14ac:dyDescent="0.25">
      <c r="A424" s="39"/>
      <c r="B424" s="83" t="s">
        <v>206</v>
      </c>
      <c r="C424" s="40">
        <f t="shared" si="21"/>
        <v>49178</v>
      </c>
      <c r="D424" s="31">
        <v>2568</v>
      </c>
      <c r="E424" s="31">
        <v>162587</v>
      </c>
      <c r="F424" s="31"/>
      <c r="G424" s="34">
        <f>'4.pielikums'!B373</f>
        <v>214333</v>
      </c>
      <c r="H424" s="13"/>
      <c r="I424" s="13"/>
    </row>
    <row r="425" spans="1:9" s="11" customFormat="1" ht="31.5" x14ac:dyDescent="0.25">
      <c r="A425" s="39"/>
      <c r="B425" s="83" t="s">
        <v>155</v>
      </c>
      <c r="C425" s="40">
        <f t="shared" si="21"/>
        <v>0</v>
      </c>
      <c r="D425" s="31"/>
      <c r="E425" s="31">
        <v>29850</v>
      </c>
      <c r="F425" s="31"/>
      <c r="G425" s="34">
        <f>'4.pielikums'!B372</f>
        <v>29850</v>
      </c>
      <c r="H425" s="13"/>
      <c r="I425" s="13"/>
    </row>
    <row r="426" spans="1:9" s="11" customFormat="1" ht="74.25" customHeight="1" x14ac:dyDescent="0.25">
      <c r="A426" s="39"/>
      <c r="B426" s="83" t="s">
        <v>173</v>
      </c>
      <c r="C426" s="40">
        <f t="shared" si="21"/>
        <v>55775</v>
      </c>
      <c r="D426" s="31"/>
      <c r="E426" s="31"/>
      <c r="F426" s="40">
        <v>51738</v>
      </c>
      <c r="G426" s="34">
        <f>'4.pielikums'!B390</f>
        <v>107513</v>
      </c>
      <c r="H426" s="13"/>
      <c r="I426" s="13"/>
    </row>
    <row r="427" spans="1:9" s="11" customFormat="1" ht="63" x14ac:dyDescent="0.25">
      <c r="A427" s="39"/>
      <c r="B427" s="83" t="s">
        <v>192</v>
      </c>
      <c r="C427" s="40">
        <f t="shared" si="21"/>
        <v>0</v>
      </c>
      <c r="D427" s="31"/>
      <c r="E427" s="40">
        <v>24762</v>
      </c>
      <c r="F427" s="31"/>
      <c r="G427" s="34">
        <f>'4.pielikums'!B364</f>
        <v>24762</v>
      </c>
      <c r="H427" s="13"/>
      <c r="I427" s="13"/>
    </row>
    <row r="428" spans="1:9" s="11" customFormat="1" ht="47.25" x14ac:dyDescent="0.25">
      <c r="A428" s="39"/>
      <c r="B428" s="103" t="s">
        <v>489</v>
      </c>
      <c r="C428" s="40">
        <f t="shared" si="21"/>
        <v>11906</v>
      </c>
      <c r="D428" s="31"/>
      <c r="E428" s="40">
        <v>90892</v>
      </c>
      <c r="F428" s="31"/>
      <c r="G428" s="34">
        <f>'4.pielikums'!B365</f>
        <v>102798</v>
      </c>
      <c r="H428" s="13"/>
      <c r="I428" s="13"/>
    </row>
    <row r="429" spans="1:9" s="11" customFormat="1" ht="15.75" x14ac:dyDescent="0.25">
      <c r="A429" s="39"/>
      <c r="B429" s="83" t="s">
        <v>470</v>
      </c>
      <c r="C429" s="40">
        <f t="shared" si="21"/>
        <v>2061</v>
      </c>
      <c r="D429" s="31"/>
      <c r="E429" s="40"/>
      <c r="F429" s="31"/>
      <c r="G429" s="34">
        <f>'4.pielikums'!B396</f>
        <v>2061</v>
      </c>
      <c r="H429" s="13"/>
      <c r="I429" s="13"/>
    </row>
    <row r="430" spans="1:9" s="11" customFormat="1" ht="31.5" x14ac:dyDescent="0.25">
      <c r="A430" s="39"/>
      <c r="B430" s="32" t="s">
        <v>154</v>
      </c>
      <c r="C430" s="40">
        <f t="shared" si="21"/>
        <v>232</v>
      </c>
      <c r="D430" s="31"/>
      <c r="E430" s="31">
        <v>12830</v>
      </c>
      <c r="F430" s="31"/>
      <c r="G430" s="34">
        <f>'4.pielikums'!B371</f>
        <v>13062</v>
      </c>
      <c r="H430" s="13"/>
      <c r="I430" s="13"/>
    </row>
    <row r="431" spans="1:9" ht="15.75" x14ac:dyDescent="0.25">
      <c r="A431" s="16"/>
      <c r="B431" s="25"/>
      <c r="C431" s="25"/>
      <c r="D431" s="25"/>
      <c r="E431" s="17"/>
      <c r="F431" s="17"/>
    </row>
    <row r="432" spans="1:9" ht="18.75" x14ac:dyDescent="0.3">
      <c r="A432" s="16"/>
      <c r="B432" s="47" t="s">
        <v>497</v>
      </c>
      <c r="C432" s="47"/>
      <c r="D432" s="47"/>
      <c r="E432" s="47"/>
      <c r="F432" s="47"/>
    </row>
    <row r="433" spans="1:7" x14ac:dyDescent="0.25">
      <c r="A433" s="16"/>
      <c r="B433" s="17"/>
      <c r="C433" s="17"/>
      <c r="D433" s="17"/>
      <c r="E433" s="17"/>
      <c r="F433" s="17"/>
    </row>
    <row r="434" spans="1:7" x14ac:dyDescent="0.25">
      <c r="A434" s="14"/>
      <c r="B434" s="14"/>
      <c r="C434" s="14"/>
      <c r="D434" s="14"/>
      <c r="E434" s="14"/>
      <c r="F434" s="14"/>
      <c r="G434" s="13"/>
    </row>
    <row r="435" spans="1:7" x14ac:dyDescent="0.25">
      <c r="A435" s="14"/>
      <c r="B435" s="14"/>
      <c r="C435" s="15"/>
      <c r="D435" s="14"/>
      <c r="E435" s="14"/>
      <c r="F435" s="14"/>
    </row>
    <row r="436" spans="1:7" x14ac:dyDescent="0.25">
      <c r="A436" s="14"/>
      <c r="B436" s="14"/>
      <c r="C436" s="14"/>
      <c r="D436" s="14"/>
      <c r="E436" s="14"/>
      <c r="F436" s="14"/>
    </row>
    <row r="438" spans="1:7" x14ac:dyDescent="0.25">
      <c r="C438" s="13"/>
    </row>
    <row r="439" spans="1:7" x14ac:dyDescent="0.25">
      <c r="C439" s="13"/>
    </row>
    <row r="440" spans="1:7" x14ac:dyDescent="0.25">
      <c r="C440" s="13"/>
    </row>
  </sheetData>
  <mergeCells count="6">
    <mergeCell ref="G15:G16"/>
    <mergeCell ref="C15:F15"/>
    <mergeCell ref="A15:A16"/>
    <mergeCell ref="B15:B16"/>
    <mergeCell ref="B12:F12"/>
    <mergeCell ref="B13:F13"/>
  </mergeCells>
  <printOptions horizontalCentered="1"/>
  <pageMargins left="0.7" right="0.7" top="0.75" bottom="0.75" header="0.3" footer="0.3"/>
  <pageSetup paperSize="9" scale="75" fitToWidth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D4680-CFFE-49D0-B0E0-E3850C3CEF94}">
  <sheetPr>
    <pageSetUpPr fitToPage="1"/>
  </sheetPr>
  <dimension ref="A2:L421"/>
  <sheetViews>
    <sheetView tabSelected="1" topLeftCell="A133" zoomScale="96" zoomScaleNormal="96" workbookViewId="0">
      <selection activeCell="D140" sqref="D140"/>
    </sheetView>
  </sheetViews>
  <sheetFormatPr defaultColWidth="9.140625" defaultRowHeight="15" x14ac:dyDescent="0.25"/>
  <cols>
    <col min="1" max="1" width="34.5703125" style="12" customWidth="1"/>
    <col min="2" max="2" width="18.140625" style="12" customWidth="1"/>
    <col min="3" max="3" width="11.28515625" style="12" customWidth="1"/>
    <col min="4" max="4" width="14" style="12" customWidth="1"/>
    <col min="5" max="9" width="16.5703125" style="12" customWidth="1"/>
    <col min="10" max="10" width="10.5703125" style="12" customWidth="1"/>
    <col min="11" max="16384" width="9.140625" style="12"/>
  </cols>
  <sheetData>
    <row r="2" spans="1:9" ht="15.75" x14ac:dyDescent="0.25">
      <c r="I2" s="106" t="s">
        <v>503</v>
      </c>
    </row>
    <row r="3" spans="1:9" ht="15.75" customHeight="1" x14ac:dyDescent="0.25">
      <c r="E3" s="46"/>
      <c r="F3" s="46"/>
      <c r="G3" s="46"/>
      <c r="H3" s="46"/>
      <c r="I3" s="106" t="s">
        <v>151</v>
      </c>
    </row>
    <row r="4" spans="1:9" ht="15.75" customHeight="1" x14ac:dyDescent="0.25">
      <c r="E4" s="104"/>
      <c r="F4" s="104"/>
      <c r="G4" s="104"/>
      <c r="H4" s="104"/>
      <c r="I4" s="106" t="s">
        <v>514</v>
      </c>
    </row>
    <row r="5" spans="1:9" ht="15.75" customHeight="1" x14ac:dyDescent="0.25">
      <c r="E5" s="104"/>
      <c r="F5" s="104"/>
      <c r="G5" s="104"/>
      <c r="H5" s="104"/>
      <c r="I5" s="106" t="s">
        <v>498</v>
      </c>
    </row>
    <row r="6" spans="1:9" ht="15.75" customHeight="1" x14ac:dyDescent="0.25">
      <c r="E6" s="104"/>
      <c r="F6" s="104"/>
      <c r="G6" s="104"/>
      <c r="H6" s="104"/>
      <c r="I6" s="106" t="s">
        <v>499</v>
      </c>
    </row>
    <row r="7" spans="1:9" ht="15.75" customHeight="1" x14ac:dyDescent="0.25">
      <c r="E7" s="104"/>
      <c r="F7" s="104"/>
      <c r="G7" s="104"/>
      <c r="H7" s="104"/>
      <c r="I7" s="11"/>
    </row>
    <row r="8" spans="1:9" ht="15.75" customHeight="1" x14ac:dyDescent="0.25">
      <c r="E8" s="104"/>
      <c r="F8" s="104"/>
      <c r="G8" s="104"/>
      <c r="H8" s="104"/>
      <c r="I8" s="11"/>
    </row>
    <row r="9" spans="1:9" ht="15.75" customHeight="1" x14ac:dyDescent="0.25">
      <c r="E9" s="104"/>
      <c r="F9" s="104"/>
      <c r="G9" s="104"/>
      <c r="H9" s="104"/>
      <c r="I9" s="107" t="s">
        <v>503</v>
      </c>
    </row>
    <row r="10" spans="1:9" ht="15.75" customHeight="1" x14ac:dyDescent="0.25">
      <c r="E10" s="46"/>
      <c r="F10" s="46"/>
      <c r="G10" s="46"/>
      <c r="H10" s="46"/>
      <c r="I10" s="106" t="s">
        <v>151</v>
      </c>
    </row>
    <row r="11" spans="1:9" ht="15.75" customHeight="1" x14ac:dyDescent="0.25">
      <c r="E11" s="46"/>
      <c r="F11" s="46"/>
      <c r="G11" s="46"/>
      <c r="H11" s="46"/>
      <c r="I11" s="104" t="s">
        <v>500</v>
      </c>
    </row>
    <row r="12" spans="1:9" ht="15.75" customHeight="1" x14ac:dyDescent="0.25">
      <c r="E12" s="51"/>
      <c r="F12" s="50"/>
      <c r="G12" s="46"/>
      <c r="H12" s="46"/>
      <c r="I12" s="104" t="s">
        <v>501</v>
      </c>
    </row>
    <row r="13" spans="1:9" ht="15.75" customHeight="1" x14ac:dyDescent="0.25">
      <c r="E13" s="51"/>
      <c r="F13" s="50"/>
      <c r="G13" s="46"/>
      <c r="H13" s="46"/>
      <c r="I13" s="46"/>
    </row>
    <row r="14" spans="1:9" x14ac:dyDescent="0.25">
      <c r="E14" s="20"/>
      <c r="F14" s="20"/>
      <c r="G14" s="22"/>
      <c r="H14" s="20"/>
      <c r="I14" s="20"/>
    </row>
    <row r="15" spans="1:9" ht="15.75" customHeight="1" x14ac:dyDescent="0.3">
      <c r="A15" s="5" t="s">
        <v>216</v>
      </c>
      <c r="B15" s="5"/>
      <c r="C15" s="5"/>
      <c r="D15" s="5"/>
      <c r="E15" s="5"/>
      <c r="F15" s="5"/>
      <c r="G15" s="5"/>
      <c r="H15" s="5"/>
      <c r="I15" s="5"/>
    </row>
    <row r="17" spans="1:11" ht="15" customHeight="1" x14ac:dyDescent="0.25">
      <c r="A17" s="3" t="s">
        <v>0</v>
      </c>
      <c r="B17" s="1" t="s">
        <v>221</v>
      </c>
      <c r="C17" s="4" t="s">
        <v>229</v>
      </c>
      <c r="D17" s="4"/>
      <c r="E17" s="4"/>
      <c r="F17" s="4"/>
      <c r="G17" s="4"/>
      <c r="H17" s="4"/>
      <c r="I17" s="4"/>
    </row>
    <row r="18" spans="1:11" x14ac:dyDescent="0.25">
      <c r="A18" s="3"/>
      <c r="B18" s="1"/>
      <c r="C18" s="65">
        <v>1000</v>
      </c>
      <c r="D18" s="65">
        <v>2000</v>
      </c>
      <c r="E18" s="65">
        <v>3000</v>
      </c>
      <c r="F18" s="65">
        <v>4000</v>
      </c>
      <c r="G18" s="65">
        <v>5000</v>
      </c>
      <c r="H18" s="56">
        <v>6000</v>
      </c>
      <c r="I18" s="56">
        <v>7000</v>
      </c>
    </row>
    <row r="19" spans="1:11" ht="45" x14ac:dyDescent="0.25">
      <c r="A19" s="2"/>
      <c r="B19" s="1"/>
      <c r="C19" s="56" t="s">
        <v>224</v>
      </c>
      <c r="D19" s="56" t="s">
        <v>225</v>
      </c>
      <c r="E19" s="56" t="s">
        <v>226</v>
      </c>
      <c r="F19" s="56" t="s">
        <v>227</v>
      </c>
      <c r="G19" s="56" t="s">
        <v>228</v>
      </c>
      <c r="H19" s="56" t="s">
        <v>222</v>
      </c>
      <c r="I19" s="56" t="s">
        <v>223</v>
      </c>
    </row>
    <row r="20" spans="1:11" ht="30" customHeight="1" x14ac:dyDescent="0.25">
      <c r="A20" s="119" t="s">
        <v>1</v>
      </c>
      <c r="B20" s="64">
        <f>SUM(C20:I20)</f>
        <v>1387842</v>
      </c>
      <c r="C20" s="55">
        <f>811552+170930+11625</f>
        <v>994107</v>
      </c>
      <c r="D20" s="55">
        <f>180130-15422</f>
        <v>164708</v>
      </c>
      <c r="E20" s="55">
        <v>0</v>
      </c>
      <c r="F20" s="55">
        <v>0</v>
      </c>
      <c r="G20" s="55">
        <f>226644+2383</f>
        <v>229027</v>
      </c>
      <c r="H20" s="57">
        <v>0</v>
      </c>
      <c r="I20" s="57">
        <v>0</v>
      </c>
      <c r="J20" s="19"/>
    </row>
    <row r="21" spans="1:11" ht="15" customHeight="1" x14ac:dyDescent="0.25">
      <c r="A21" s="119" t="s">
        <v>2</v>
      </c>
      <c r="B21" s="64">
        <f t="shared" ref="B21:B84" si="0">SUM(C21:I21)</f>
        <v>152507</v>
      </c>
      <c r="C21" s="55">
        <f>132830+19677</f>
        <v>152507</v>
      </c>
      <c r="D21" s="55">
        <v>0</v>
      </c>
      <c r="E21" s="55">
        <v>0</v>
      </c>
      <c r="F21" s="55">
        <v>0</v>
      </c>
      <c r="G21" s="55"/>
      <c r="H21" s="57">
        <v>0</v>
      </c>
      <c r="I21" s="57">
        <v>0</v>
      </c>
    </row>
    <row r="22" spans="1:11" ht="15" customHeight="1" x14ac:dyDescent="0.25">
      <c r="A22" s="120" t="s">
        <v>3</v>
      </c>
      <c r="B22" s="64">
        <f t="shared" si="0"/>
        <v>31142</v>
      </c>
      <c r="C22" s="55">
        <v>27091</v>
      </c>
      <c r="D22" s="55">
        <v>4051</v>
      </c>
      <c r="E22" s="55">
        <v>0</v>
      </c>
      <c r="F22" s="55">
        <v>0</v>
      </c>
      <c r="G22" s="55"/>
      <c r="H22" s="57">
        <v>0</v>
      </c>
      <c r="I22" s="57">
        <v>0</v>
      </c>
      <c r="J22" s="54"/>
      <c r="K22" s="21"/>
    </row>
    <row r="23" spans="1:11" ht="15" customHeight="1" x14ac:dyDescent="0.25">
      <c r="A23" s="120" t="s">
        <v>233</v>
      </c>
      <c r="B23" s="64">
        <f t="shared" si="0"/>
        <v>224628</v>
      </c>
      <c r="C23" s="55">
        <f>209696-8752-11500</f>
        <v>189444</v>
      </c>
      <c r="D23" s="55">
        <f>31671-1776</f>
        <v>29895</v>
      </c>
      <c r="E23" s="55"/>
      <c r="F23" s="55"/>
      <c r="G23" s="55">
        <f>700+1776</f>
        <v>2476</v>
      </c>
      <c r="H23" s="57">
        <v>2212</v>
      </c>
      <c r="I23" s="57">
        <v>601</v>
      </c>
      <c r="J23" s="54"/>
      <c r="K23" s="21"/>
    </row>
    <row r="24" spans="1:11" ht="30" customHeight="1" x14ac:dyDescent="0.25">
      <c r="A24" s="120" t="s">
        <v>4</v>
      </c>
      <c r="B24" s="64">
        <f t="shared" si="0"/>
        <v>43003</v>
      </c>
      <c r="C24" s="55">
        <v>36061</v>
      </c>
      <c r="D24" s="55">
        <f>8687-2595</f>
        <v>6092</v>
      </c>
      <c r="E24" s="55">
        <v>0</v>
      </c>
      <c r="F24" s="55">
        <v>0</v>
      </c>
      <c r="G24" s="55">
        <v>850</v>
      </c>
      <c r="H24" s="57">
        <v>0</v>
      </c>
      <c r="I24" s="57">
        <v>0</v>
      </c>
      <c r="J24" s="54"/>
      <c r="K24" s="21"/>
    </row>
    <row r="25" spans="1:11" ht="30" customHeight="1" x14ac:dyDescent="0.25">
      <c r="A25" s="120" t="s">
        <v>5</v>
      </c>
      <c r="B25" s="64">
        <f t="shared" si="0"/>
        <v>73590</v>
      </c>
      <c r="C25" s="55">
        <v>43931</v>
      </c>
      <c r="D25" s="55">
        <f>28582+279</f>
        <v>28861</v>
      </c>
      <c r="E25" s="55">
        <v>0</v>
      </c>
      <c r="F25" s="55">
        <v>0</v>
      </c>
      <c r="G25" s="55">
        <v>798</v>
      </c>
      <c r="H25" s="57">
        <v>0</v>
      </c>
      <c r="I25" s="57">
        <v>0</v>
      </c>
    </row>
    <row r="26" spans="1:11" ht="30" customHeight="1" x14ac:dyDescent="0.25">
      <c r="A26" s="120" t="s">
        <v>6</v>
      </c>
      <c r="B26" s="64">
        <f t="shared" si="0"/>
        <v>40725</v>
      </c>
      <c r="C26" s="55">
        <v>29068</v>
      </c>
      <c r="D26" s="55">
        <v>11657</v>
      </c>
      <c r="E26" s="55">
        <v>0</v>
      </c>
      <c r="F26" s="55">
        <v>0</v>
      </c>
      <c r="G26" s="55"/>
      <c r="H26" s="57">
        <v>0</v>
      </c>
      <c r="I26" s="57">
        <v>0</v>
      </c>
    </row>
    <row r="27" spans="1:11" ht="30" customHeight="1" x14ac:dyDescent="0.25">
      <c r="A27" s="120" t="s">
        <v>7</v>
      </c>
      <c r="B27" s="64">
        <f t="shared" si="0"/>
        <v>54755</v>
      </c>
      <c r="C27" s="55">
        <v>37941</v>
      </c>
      <c r="D27" s="55">
        <v>16761</v>
      </c>
      <c r="E27" s="55">
        <v>0</v>
      </c>
      <c r="F27" s="55">
        <v>0</v>
      </c>
      <c r="G27" s="55">
        <v>53</v>
      </c>
      <c r="H27" s="57">
        <v>0</v>
      </c>
      <c r="I27" s="57">
        <v>0</v>
      </c>
    </row>
    <row r="28" spans="1:11" ht="15" customHeight="1" x14ac:dyDescent="0.25">
      <c r="A28" s="120" t="s">
        <v>8</v>
      </c>
      <c r="B28" s="64">
        <f t="shared" si="0"/>
        <v>50545</v>
      </c>
      <c r="C28" s="55">
        <v>37785</v>
      </c>
      <c r="D28" s="55">
        <f>14339-1615</f>
        <v>12724</v>
      </c>
      <c r="E28" s="55">
        <v>0</v>
      </c>
      <c r="F28" s="55">
        <v>0</v>
      </c>
      <c r="G28" s="55">
        <v>36</v>
      </c>
      <c r="H28" s="57">
        <v>0</v>
      </c>
      <c r="I28" s="57">
        <v>0</v>
      </c>
    </row>
    <row r="29" spans="1:11" ht="28.5" customHeight="1" x14ac:dyDescent="0.25">
      <c r="A29" s="121" t="s">
        <v>234</v>
      </c>
      <c r="B29" s="64">
        <f t="shared" si="0"/>
        <v>40683</v>
      </c>
      <c r="C29" s="55">
        <v>30442</v>
      </c>
      <c r="D29" s="55">
        <v>9241</v>
      </c>
      <c r="E29" s="55"/>
      <c r="F29" s="55"/>
      <c r="G29" s="55">
        <v>1000</v>
      </c>
      <c r="H29" s="57"/>
      <c r="I29" s="57"/>
    </row>
    <row r="30" spans="1:11" ht="28.5" customHeight="1" x14ac:dyDescent="0.25">
      <c r="A30" s="121" t="s">
        <v>309</v>
      </c>
      <c r="B30" s="64">
        <f t="shared" si="0"/>
        <v>3468</v>
      </c>
      <c r="C30" s="55">
        <v>0</v>
      </c>
      <c r="D30" s="55">
        <f>2275+1193</f>
        <v>3468</v>
      </c>
      <c r="E30" s="55">
        <v>0</v>
      </c>
      <c r="F30" s="55">
        <v>0</v>
      </c>
      <c r="G30" s="55">
        <v>0</v>
      </c>
      <c r="H30" s="57">
        <v>0</v>
      </c>
      <c r="I30" s="57">
        <v>0</v>
      </c>
    </row>
    <row r="31" spans="1:11" ht="15" customHeight="1" x14ac:dyDescent="0.25">
      <c r="A31" s="120" t="s">
        <v>9</v>
      </c>
      <c r="B31" s="64">
        <f t="shared" si="0"/>
        <v>38244</v>
      </c>
      <c r="C31" s="55">
        <v>27230</v>
      </c>
      <c r="D31" s="55">
        <f>12129-1200</f>
        <v>10929</v>
      </c>
      <c r="E31" s="55">
        <v>0</v>
      </c>
      <c r="F31" s="55">
        <v>0</v>
      </c>
      <c r="G31" s="55">
        <v>85</v>
      </c>
      <c r="H31" s="57">
        <v>0</v>
      </c>
      <c r="I31" s="57">
        <v>0</v>
      </c>
      <c r="J31" s="54"/>
      <c r="K31" s="21"/>
    </row>
    <row r="32" spans="1:11" ht="30" customHeight="1" x14ac:dyDescent="0.25">
      <c r="A32" s="121" t="s">
        <v>235</v>
      </c>
      <c r="B32" s="64">
        <f t="shared" si="0"/>
        <v>33632</v>
      </c>
      <c r="C32" s="55">
        <v>29046</v>
      </c>
      <c r="D32" s="55">
        <v>4586</v>
      </c>
      <c r="E32" s="55"/>
      <c r="F32" s="55"/>
      <c r="G32" s="55"/>
      <c r="H32" s="57"/>
      <c r="I32" s="57"/>
    </row>
    <row r="33" spans="1:12" ht="30" customHeight="1" x14ac:dyDescent="0.25">
      <c r="A33" s="121" t="s">
        <v>310</v>
      </c>
      <c r="B33" s="64">
        <f t="shared" si="0"/>
        <v>222941</v>
      </c>
      <c r="C33" s="55">
        <f>236348-59087</f>
        <v>177261</v>
      </c>
      <c r="D33" s="55">
        <v>43680</v>
      </c>
      <c r="E33" s="55"/>
      <c r="F33" s="55"/>
      <c r="G33" s="55">
        <v>2000</v>
      </c>
      <c r="H33" s="57"/>
      <c r="I33" s="57"/>
    </row>
    <row r="34" spans="1:12" ht="30" customHeight="1" x14ac:dyDescent="0.25">
      <c r="A34" s="121" t="s">
        <v>236</v>
      </c>
      <c r="B34" s="64">
        <f t="shared" si="0"/>
        <v>19901</v>
      </c>
      <c r="C34" s="55">
        <v>15001</v>
      </c>
      <c r="D34" s="55">
        <v>4900</v>
      </c>
      <c r="E34" s="55"/>
      <c r="F34" s="55"/>
      <c r="G34" s="55"/>
      <c r="H34" s="57"/>
      <c r="I34" s="57"/>
      <c r="J34" s="54"/>
      <c r="K34" s="21"/>
      <c r="L34" s="21"/>
    </row>
    <row r="35" spans="1:12" ht="33" customHeight="1" x14ac:dyDescent="0.25">
      <c r="A35" s="121" t="s">
        <v>237</v>
      </c>
      <c r="B35" s="64">
        <f t="shared" si="0"/>
        <v>40712</v>
      </c>
      <c r="C35" s="55">
        <v>34623</v>
      </c>
      <c r="D35" s="55">
        <v>6089</v>
      </c>
      <c r="E35" s="55"/>
      <c r="F35" s="55"/>
      <c r="G35" s="55"/>
      <c r="H35" s="57"/>
      <c r="I35" s="57"/>
      <c r="K35" s="21"/>
      <c r="L35" s="21"/>
    </row>
    <row r="36" spans="1:12" ht="30" customHeight="1" x14ac:dyDescent="0.25">
      <c r="A36" s="120" t="s">
        <v>10</v>
      </c>
      <c r="B36" s="64">
        <f t="shared" si="0"/>
        <v>68654</v>
      </c>
      <c r="C36" s="55">
        <v>50206</v>
      </c>
      <c r="D36" s="55">
        <f>18265+183</f>
        <v>18448</v>
      </c>
      <c r="E36" s="55">
        <v>0</v>
      </c>
      <c r="F36" s="55">
        <v>0</v>
      </c>
      <c r="G36" s="55"/>
      <c r="H36" s="57">
        <v>0</v>
      </c>
      <c r="I36" s="57">
        <v>0</v>
      </c>
      <c r="K36" s="21"/>
      <c r="L36" s="21"/>
    </row>
    <row r="37" spans="1:12" ht="15" customHeight="1" x14ac:dyDescent="0.25">
      <c r="A37" s="120" t="s">
        <v>11</v>
      </c>
      <c r="B37" s="64">
        <f t="shared" si="0"/>
        <v>49921</v>
      </c>
      <c r="C37" s="55">
        <v>34827</v>
      </c>
      <c r="D37" s="55">
        <f>13400+660</f>
        <v>14060</v>
      </c>
      <c r="E37" s="55">
        <v>0</v>
      </c>
      <c r="F37" s="55">
        <v>0</v>
      </c>
      <c r="G37" s="55">
        <f>1500-466</f>
        <v>1034</v>
      </c>
      <c r="H37" s="57">
        <v>0</v>
      </c>
      <c r="I37" s="57">
        <v>0</v>
      </c>
      <c r="K37" s="21"/>
      <c r="L37" s="21"/>
    </row>
    <row r="38" spans="1:12" ht="15" customHeight="1" x14ac:dyDescent="0.25">
      <c r="A38" s="121" t="s">
        <v>238</v>
      </c>
      <c r="B38" s="64">
        <f t="shared" si="0"/>
        <v>35987</v>
      </c>
      <c r="C38" s="55">
        <v>28320</v>
      </c>
      <c r="D38" s="55">
        <f>5202+1660+805</f>
        <v>7667</v>
      </c>
      <c r="E38" s="55"/>
      <c r="F38" s="55"/>
      <c r="G38" s="55"/>
      <c r="H38" s="57"/>
      <c r="I38" s="57"/>
      <c r="K38" s="21"/>
      <c r="L38" s="21"/>
    </row>
    <row r="39" spans="1:12" ht="15" customHeight="1" x14ac:dyDescent="0.25">
      <c r="A39" s="120" t="s">
        <v>12</v>
      </c>
      <c r="B39" s="64">
        <f t="shared" si="0"/>
        <v>56128</v>
      </c>
      <c r="C39" s="55">
        <v>39965</v>
      </c>
      <c r="D39" s="55">
        <f>18032-2719</f>
        <v>15313</v>
      </c>
      <c r="E39" s="55">
        <v>0</v>
      </c>
      <c r="F39" s="55">
        <v>0</v>
      </c>
      <c r="G39" s="55">
        <v>850</v>
      </c>
      <c r="H39" s="57">
        <v>0</v>
      </c>
      <c r="I39" s="57">
        <v>0</v>
      </c>
      <c r="K39" s="21"/>
      <c r="L39" s="21"/>
    </row>
    <row r="40" spans="1:12" ht="15" customHeight="1" x14ac:dyDescent="0.25">
      <c r="A40" s="121" t="s">
        <v>230</v>
      </c>
      <c r="B40" s="64">
        <f t="shared" si="0"/>
        <v>483093</v>
      </c>
      <c r="C40" s="55">
        <f>465535-66249</f>
        <v>399286</v>
      </c>
      <c r="D40" s="55">
        <f>84282-2146</f>
        <v>82136</v>
      </c>
      <c r="E40" s="55"/>
      <c r="F40" s="55"/>
      <c r="G40" s="55">
        <v>700</v>
      </c>
      <c r="H40" s="57"/>
      <c r="I40" s="57">
        <v>971</v>
      </c>
      <c r="K40" s="21"/>
      <c r="L40" s="21"/>
    </row>
    <row r="41" spans="1:12" ht="15" customHeight="1" x14ac:dyDescent="0.25">
      <c r="A41" s="121" t="s">
        <v>239</v>
      </c>
      <c r="B41" s="64">
        <f t="shared" si="0"/>
        <v>33198</v>
      </c>
      <c r="C41" s="55">
        <v>27652</v>
      </c>
      <c r="D41" s="55">
        <v>5546</v>
      </c>
      <c r="E41" s="55"/>
      <c r="F41" s="55"/>
      <c r="G41" s="55"/>
      <c r="H41" s="57"/>
      <c r="I41" s="57"/>
      <c r="J41" s="54"/>
      <c r="K41" s="21"/>
      <c r="L41" s="21"/>
    </row>
    <row r="42" spans="1:12" ht="15" customHeight="1" x14ac:dyDescent="0.25">
      <c r="A42" s="121" t="s">
        <v>472</v>
      </c>
      <c r="B42" s="64">
        <f t="shared" si="0"/>
        <v>89517</v>
      </c>
      <c r="C42" s="55">
        <f>58428-792</f>
        <v>57636</v>
      </c>
      <c r="D42" s="55">
        <f>9009+1877</f>
        <v>10886</v>
      </c>
      <c r="E42" s="55"/>
      <c r="F42" s="55"/>
      <c r="G42" s="55">
        <f>22080-1085</f>
        <v>20995</v>
      </c>
      <c r="H42" s="57"/>
      <c r="I42" s="57"/>
      <c r="J42" s="54"/>
      <c r="K42" s="21"/>
      <c r="L42" s="21"/>
    </row>
    <row r="43" spans="1:12" ht="48.75" customHeight="1" x14ac:dyDescent="0.25">
      <c r="A43" s="120" t="s">
        <v>231</v>
      </c>
      <c r="B43" s="64">
        <f t="shared" si="0"/>
        <v>92285</v>
      </c>
      <c r="C43" s="55">
        <v>65161</v>
      </c>
      <c r="D43" s="55">
        <f>14508+6154</f>
        <v>20662</v>
      </c>
      <c r="E43" s="55"/>
      <c r="F43" s="55"/>
      <c r="G43" s="55">
        <f>2124+1046</f>
        <v>3170</v>
      </c>
      <c r="H43" s="57"/>
      <c r="I43" s="57">
        <v>3292</v>
      </c>
      <c r="K43" s="21"/>
      <c r="L43" s="21"/>
    </row>
    <row r="44" spans="1:12" ht="31.5" customHeight="1" x14ac:dyDescent="0.25">
      <c r="A44" s="120" t="s">
        <v>13</v>
      </c>
      <c r="B44" s="64">
        <f t="shared" si="0"/>
        <v>0</v>
      </c>
      <c r="C44" s="55">
        <v>0</v>
      </c>
      <c r="D44" s="55">
        <f>18634-1285-1173-16176</f>
        <v>0</v>
      </c>
      <c r="E44" s="55">
        <v>0</v>
      </c>
      <c r="F44" s="55">
        <v>0</v>
      </c>
      <c r="G44" s="55"/>
      <c r="H44" s="57">
        <v>0</v>
      </c>
      <c r="I44" s="57">
        <v>0</v>
      </c>
      <c r="J44" s="54"/>
      <c r="K44" s="21"/>
      <c r="L44" s="21"/>
    </row>
    <row r="45" spans="1:12" ht="15" customHeight="1" x14ac:dyDescent="0.25">
      <c r="A45" s="120" t="s">
        <v>14</v>
      </c>
      <c r="B45" s="64">
        <f t="shared" si="0"/>
        <v>32021</v>
      </c>
      <c r="C45" s="55">
        <v>0</v>
      </c>
      <c r="D45" s="55">
        <v>32021</v>
      </c>
      <c r="E45" s="55">
        <v>0</v>
      </c>
      <c r="F45" s="55">
        <v>0</v>
      </c>
      <c r="G45" s="55"/>
      <c r="H45" s="57">
        <v>0</v>
      </c>
      <c r="I45" s="57">
        <v>0</v>
      </c>
      <c r="K45" s="21"/>
      <c r="L45" s="21"/>
    </row>
    <row r="46" spans="1:12" ht="15" customHeight="1" x14ac:dyDescent="0.25">
      <c r="A46" s="120" t="s">
        <v>232</v>
      </c>
      <c r="B46" s="64">
        <f t="shared" si="0"/>
        <v>55763</v>
      </c>
      <c r="C46" s="55">
        <v>0</v>
      </c>
      <c r="D46" s="55">
        <v>34247</v>
      </c>
      <c r="E46" s="55">
        <v>0</v>
      </c>
      <c r="F46" s="55">
        <v>21516</v>
      </c>
      <c r="G46" s="55"/>
      <c r="H46" s="57">
        <v>0</v>
      </c>
      <c r="I46" s="57">
        <v>0</v>
      </c>
      <c r="K46" s="21"/>
      <c r="L46" s="21"/>
    </row>
    <row r="47" spans="1:12" ht="15" customHeight="1" x14ac:dyDescent="0.25">
      <c r="A47" s="120" t="s">
        <v>307</v>
      </c>
      <c r="B47" s="64">
        <f t="shared" si="0"/>
        <v>63660</v>
      </c>
      <c r="C47" s="55">
        <v>32595</v>
      </c>
      <c r="D47" s="55">
        <v>9599</v>
      </c>
      <c r="E47" s="55"/>
      <c r="F47" s="55"/>
      <c r="G47" s="55"/>
      <c r="H47" s="57"/>
      <c r="I47" s="57">
        <v>21466</v>
      </c>
      <c r="K47" s="21"/>
      <c r="L47" s="21"/>
    </row>
    <row r="48" spans="1:12" ht="55.5" customHeight="1" x14ac:dyDescent="0.25">
      <c r="A48" s="122" t="s">
        <v>218</v>
      </c>
      <c r="B48" s="64">
        <f t="shared" si="0"/>
        <v>18750</v>
      </c>
      <c r="C48" s="55">
        <v>9550</v>
      </c>
      <c r="D48" s="55"/>
      <c r="E48" s="55"/>
      <c r="F48" s="55"/>
      <c r="G48" s="55">
        <v>9200</v>
      </c>
      <c r="H48" s="57"/>
      <c r="I48" s="57"/>
      <c r="K48" s="21"/>
      <c r="L48" s="21"/>
    </row>
    <row r="49" spans="1:12" ht="71.25" customHeight="1" x14ac:dyDescent="0.25">
      <c r="A49" s="122" t="s">
        <v>219</v>
      </c>
      <c r="B49" s="64">
        <f t="shared" si="0"/>
        <v>36200</v>
      </c>
      <c r="C49" s="55">
        <v>5750</v>
      </c>
      <c r="D49" s="55">
        <v>200</v>
      </c>
      <c r="E49" s="55"/>
      <c r="F49" s="55"/>
      <c r="G49" s="55">
        <v>30250</v>
      </c>
      <c r="H49" s="57"/>
      <c r="I49" s="57"/>
      <c r="K49" s="21"/>
      <c r="L49" s="21"/>
    </row>
    <row r="50" spans="1:12" ht="15" customHeight="1" x14ac:dyDescent="0.25">
      <c r="A50" s="120" t="s">
        <v>15</v>
      </c>
      <c r="B50" s="64">
        <f t="shared" si="0"/>
        <v>91852</v>
      </c>
      <c r="C50" s="55">
        <v>67951</v>
      </c>
      <c r="D50" s="55">
        <v>23751</v>
      </c>
      <c r="E50" s="55">
        <v>0</v>
      </c>
      <c r="F50" s="55">
        <v>0</v>
      </c>
      <c r="G50" s="55"/>
      <c r="H50" s="57">
        <f>150</f>
        <v>150</v>
      </c>
      <c r="I50" s="57">
        <v>0</v>
      </c>
      <c r="K50" s="21"/>
      <c r="L50" s="21"/>
    </row>
    <row r="51" spans="1:12" x14ac:dyDescent="0.25">
      <c r="A51" s="120" t="s">
        <v>16</v>
      </c>
      <c r="B51" s="64">
        <f t="shared" si="0"/>
        <v>175394</v>
      </c>
      <c r="C51" s="55">
        <v>138830</v>
      </c>
      <c r="D51" s="55">
        <v>18338</v>
      </c>
      <c r="E51" s="55">
        <v>0</v>
      </c>
      <c r="F51" s="55">
        <v>0</v>
      </c>
      <c r="G51" s="55">
        <v>18226</v>
      </c>
      <c r="H51" s="57">
        <v>0</v>
      </c>
      <c r="I51" s="57">
        <v>0</v>
      </c>
    </row>
    <row r="52" spans="1:12" ht="15" customHeight="1" x14ac:dyDescent="0.25">
      <c r="A52" s="123" t="s">
        <v>140</v>
      </c>
      <c r="B52" s="64">
        <f t="shared" si="0"/>
        <v>49135</v>
      </c>
      <c r="C52" s="55">
        <f>47100+147</f>
        <v>47247</v>
      </c>
      <c r="D52" s="55">
        <f>2035-147</f>
        <v>1888</v>
      </c>
      <c r="E52" s="55"/>
      <c r="F52" s="55"/>
      <c r="G52" s="55"/>
      <c r="H52" s="57"/>
      <c r="I52" s="57"/>
      <c r="K52" s="23"/>
    </row>
    <row r="53" spans="1:12" ht="31.5" customHeight="1" x14ac:dyDescent="0.25">
      <c r="A53" s="120" t="s">
        <v>471</v>
      </c>
      <c r="B53" s="64">
        <f t="shared" si="0"/>
        <v>600</v>
      </c>
      <c r="C53" s="55"/>
      <c r="D53" s="55">
        <v>600</v>
      </c>
      <c r="E53" s="55"/>
      <c r="F53" s="55"/>
      <c r="G53" s="55"/>
      <c r="H53" s="57"/>
      <c r="I53" s="57"/>
      <c r="K53" s="23"/>
    </row>
    <row r="54" spans="1:12" ht="15" customHeight="1" x14ac:dyDescent="0.25">
      <c r="A54" s="120" t="s">
        <v>17</v>
      </c>
      <c r="B54" s="64">
        <f t="shared" si="0"/>
        <v>98077</v>
      </c>
      <c r="C54" s="55">
        <v>73823</v>
      </c>
      <c r="D54" s="55">
        <v>23798</v>
      </c>
      <c r="E54" s="55">
        <v>0</v>
      </c>
      <c r="F54" s="55">
        <v>0</v>
      </c>
      <c r="G54" s="55">
        <v>0</v>
      </c>
      <c r="H54" s="57">
        <v>0</v>
      </c>
      <c r="I54" s="57">
        <v>456</v>
      </c>
      <c r="K54" s="23"/>
    </row>
    <row r="55" spans="1:12" ht="24" customHeight="1" x14ac:dyDescent="0.25">
      <c r="A55" s="120" t="s">
        <v>18</v>
      </c>
      <c r="B55" s="64">
        <f t="shared" si="0"/>
        <v>66183</v>
      </c>
      <c r="C55" s="55">
        <v>0</v>
      </c>
      <c r="D55" s="55">
        <f>59000+7183</f>
        <v>66183</v>
      </c>
      <c r="E55" s="55">
        <v>0</v>
      </c>
      <c r="F55" s="55">
        <v>0</v>
      </c>
      <c r="G55" s="55"/>
      <c r="H55" s="57">
        <v>0</v>
      </c>
      <c r="I55" s="57">
        <v>0</v>
      </c>
      <c r="K55" s="21"/>
    </row>
    <row r="56" spans="1:12" ht="28.5" customHeight="1" x14ac:dyDescent="0.25">
      <c r="A56" s="120" t="s">
        <v>157</v>
      </c>
      <c r="B56" s="64">
        <f t="shared" si="0"/>
        <v>3324</v>
      </c>
      <c r="C56" s="55">
        <v>0</v>
      </c>
      <c r="D56" s="55">
        <v>706</v>
      </c>
      <c r="E56" s="55">
        <v>0</v>
      </c>
      <c r="F56" s="55">
        <v>0</v>
      </c>
      <c r="G56" s="55"/>
      <c r="H56" s="57">
        <v>0</v>
      </c>
      <c r="I56" s="57">
        <v>2618</v>
      </c>
      <c r="K56" s="21"/>
    </row>
    <row r="57" spans="1:12" ht="34.5" customHeight="1" x14ac:dyDescent="0.25">
      <c r="A57" s="120" t="s">
        <v>160</v>
      </c>
      <c r="B57" s="64">
        <f t="shared" si="0"/>
        <v>63886</v>
      </c>
      <c r="C57" s="55">
        <v>35941</v>
      </c>
      <c r="D57" s="55">
        <v>26257</v>
      </c>
      <c r="E57" s="55">
        <v>1688</v>
      </c>
      <c r="F57" s="55">
        <v>0</v>
      </c>
      <c r="G57" s="55">
        <v>0</v>
      </c>
      <c r="H57" s="55">
        <v>0</v>
      </c>
      <c r="I57" s="55">
        <v>0</v>
      </c>
      <c r="K57" s="21"/>
    </row>
    <row r="58" spans="1:12" s="69" customFormat="1" ht="30" customHeight="1" x14ac:dyDescent="0.25">
      <c r="A58" s="124" t="s">
        <v>240</v>
      </c>
      <c r="B58" s="64">
        <f t="shared" si="0"/>
        <v>3310</v>
      </c>
      <c r="C58" s="55">
        <v>0</v>
      </c>
      <c r="D58" s="55">
        <f>3580-270</f>
        <v>3310</v>
      </c>
      <c r="E58" s="55">
        <v>0</v>
      </c>
      <c r="F58" s="55">
        <v>0</v>
      </c>
      <c r="G58" s="55">
        <v>0</v>
      </c>
      <c r="H58" s="57">
        <v>0</v>
      </c>
      <c r="I58" s="57">
        <v>0</v>
      </c>
      <c r="J58" s="70"/>
      <c r="K58" s="70"/>
    </row>
    <row r="59" spans="1:12" s="69" customFormat="1" ht="30" customHeight="1" x14ac:dyDescent="0.25">
      <c r="A59" s="124" t="s">
        <v>474</v>
      </c>
      <c r="B59" s="64">
        <f t="shared" si="0"/>
        <v>9152</v>
      </c>
      <c r="C59" s="55">
        <v>7682</v>
      </c>
      <c r="D59" s="55">
        <v>1470</v>
      </c>
      <c r="E59" s="55">
        <v>0</v>
      </c>
      <c r="F59" s="55">
        <v>0</v>
      </c>
      <c r="G59" s="55">
        <v>0</v>
      </c>
      <c r="H59" s="57">
        <v>0</v>
      </c>
      <c r="I59" s="57">
        <v>0</v>
      </c>
      <c r="J59" s="70"/>
      <c r="K59" s="70"/>
    </row>
    <row r="60" spans="1:12" s="69" customFormat="1" ht="55.5" customHeight="1" x14ac:dyDescent="0.25">
      <c r="A60" s="124" t="s">
        <v>321</v>
      </c>
      <c r="B60" s="64">
        <f t="shared" si="0"/>
        <v>6470</v>
      </c>
      <c r="C60" s="55">
        <f>2551</f>
        <v>2551</v>
      </c>
      <c r="D60" s="55">
        <v>150</v>
      </c>
      <c r="E60" s="55">
        <v>3769</v>
      </c>
      <c r="F60" s="55">
        <v>0</v>
      </c>
      <c r="G60" s="55">
        <v>0</v>
      </c>
      <c r="H60" s="57">
        <v>0</v>
      </c>
      <c r="I60" s="57">
        <v>0</v>
      </c>
      <c r="J60" s="70"/>
      <c r="K60" s="70"/>
    </row>
    <row r="61" spans="1:12" s="69" customFormat="1" ht="30.75" customHeight="1" x14ac:dyDescent="0.25">
      <c r="A61" s="124" t="s">
        <v>322</v>
      </c>
      <c r="B61" s="64">
        <f t="shared" si="0"/>
        <v>16000</v>
      </c>
      <c r="C61" s="55">
        <v>0</v>
      </c>
      <c r="D61" s="55">
        <v>0</v>
      </c>
      <c r="E61" s="55">
        <v>16000</v>
      </c>
      <c r="F61" s="55">
        <v>0</v>
      </c>
      <c r="G61" s="55">
        <v>0</v>
      </c>
      <c r="H61" s="57">
        <v>0</v>
      </c>
      <c r="I61" s="57">
        <v>0</v>
      </c>
      <c r="J61" s="70"/>
      <c r="K61" s="70"/>
    </row>
    <row r="62" spans="1:12" s="69" customFormat="1" ht="30.75" customHeight="1" x14ac:dyDescent="0.25">
      <c r="A62" s="124" t="s">
        <v>324</v>
      </c>
      <c r="B62" s="64">
        <f t="shared" si="0"/>
        <v>8000</v>
      </c>
      <c r="C62" s="55"/>
      <c r="D62" s="55"/>
      <c r="E62" s="55">
        <v>8000</v>
      </c>
      <c r="F62" s="55"/>
      <c r="G62" s="55"/>
      <c r="H62" s="57"/>
      <c r="I62" s="57"/>
      <c r="J62" s="70"/>
      <c r="K62" s="70"/>
    </row>
    <row r="63" spans="1:12" s="69" customFormat="1" ht="30.75" customHeight="1" x14ac:dyDescent="0.25">
      <c r="A63" s="125" t="s">
        <v>325</v>
      </c>
      <c r="B63" s="64">
        <f t="shared" si="0"/>
        <v>5000</v>
      </c>
      <c r="C63" s="55"/>
      <c r="D63" s="55"/>
      <c r="E63" s="55">
        <v>5000</v>
      </c>
      <c r="F63" s="55"/>
      <c r="G63" s="55"/>
      <c r="H63" s="57"/>
      <c r="I63" s="57"/>
      <c r="J63" s="70"/>
      <c r="K63" s="70"/>
    </row>
    <row r="64" spans="1:12" s="69" customFormat="1" ht="30.75" customHeight="1" x14ac:dyDescent="0.25">
      <c r="A64" s="126" t="s">
        <v>323</v>
      </c>
      <c r="B64" s="64">
        <f t="shared" si="0"/>
        <v>4710</v>
      </c>
      <c r="C64" s="81">
        <v>4560</v>
      </c>
      <c r="D64" s="81">
        <v>150</v>
      </c>
      <c r="E64" s="82"/>
      <c r="F64" s="82"/>
      <c r="G64" s="82"/>
      <c r="H64" s="82"/>
      <c r="I64" s="82"/>
      <c r="J64" s="70"/>
      <c r="K64" s="70"/>
    </row>
    <row r="65" spans="1:11" ht="39.75" customHeight="1" x14ac:dyDescent="0.25">
      <c r="A65" s="126" t="s">
        <v>313</v>
      </c>
      <c r="B65" s="64">
        <f t="shared" si="0"/>
        <v>9540</v>
      </c>
      <c r="C65" s="68">
        <v>5463</v>
      </c>
      <c r="D65" s="68">
        <v>4077</v>
      </c>
      <c r="E65" s="67"/>
      <c r="F65" s="67"/>
      <c r="G65" s="67"/>
      <c r="H65" s="67"/>
      <c r="I65" s="67"/>
      <c r="K65" s="21"/>
    </row>
    <row r="66" spans="1:11" ht="34.5" customHeight="1" x14ac:dyDescent="0.25">
      <c r="A66" s="124" t="s">
        <v>326</v>
      </c>
      <c r="B66" s="64">
        <f t="shared" si="0"/>
        <v>6000</v>
      </c>
      <c r="C66" s="55"/>
      <c r="D66" s="55">
        <v>6000</v>
      </c>
      <c r="E66" s="55"/>
      <c r="F66" s="55"/>
      <c r="G66" s="55"/>
      <c r="H66" s="57"/>
      <c r="I66" s="57"/>
      <c r="K66" s="21"/>
    </row>
    <row r="67" spans="1:11" ht="34.5" customHeight="1" x14ac:dyDescent="0.25">
      <c r="A67" s="124" t="s">
        <v>242</v>
      </c>
      <c r="B67" s="64">
        <f t="shared" si="0"/>
        <v>202616</v>
      </c>
      <c r="C67" s="55">
        <v>39435</v>
      </c>
      <c r="D67" s="55">
        <v>163181</v>
      </c>
      <c r="E67" s="55">
        <v>0</v>
      </c>
      <c r="F67" s="55">
        <v>0</v>
      </c>
      <c r="G67" s="55">
        <v>0</v>
      </c>
      <c r="H67" s="57">
        <v>0</v>
      </c>
      <c r="I67" s="57">
        <v>0</v>
      </c>
      <c r="K67" s="21"/>
    </row>
    <row r="68" spans="1:11" ht="34.5" customHeight="1" x14ac:dyDescent="0.25">
      <c r="A68" s="124" t="s">
        <v>241</v>
      </c>
      <c r="B68" s="64">
        <f t="shared" si="0"/>
        <v>446852</v>
      </c>
      <c r="C68" s="55">
        <v>0</v>
      </c>
      <c r="D68" s="55">
        <v>0</v>
      </c>
      <c r="E68" s="55">
        <v>0</v>
      </c>
      <c r="F68" s="55">
        <v>0</v>
      </c>
      <c r="G68" s="55">
        <v>446852</v>
      </c>
      <c r="H68" s="57">
        <v>0</v>
      </c>
      <c r="I68" s="57">
        <v>0</v>
      </c>
      <c r="K68" s="21"/>
    </row>
    <row r="69" spans="1:11" ht="30" customHeight="1" x14ac:dyDescent="0.25">
      <c r="A69" s="126" t="s">
        <v>243</v>
      </c>
      <c r="B69" s="64">
        <f t="shared" si="0"/>
        <v>316839</v>
      </c>
      <c r="C69" s="73">
        <v>0</v>
      </c>
      <c r="D69" s="74">
        <v>129010</v>
      </c>
      <c r="E69" s="73">
        <v>0</v>
      </c>
      <c r="F69" s="75">
        <v>0</v>
      </c>
      <c r="G69" s="74">
        <v>187829</v>
      </c>
      <c r="H69" s="73">
        <v>0</v>
      </c>
      <c r="I69" s="73">
        <v>0</v>
      </c>
    </row>
    <row r="70" spans="1:11" ht="31.5" customHeight="1" x14ac:dyDescent="0.25">
      <c r="A70" s="127" t="s">
        <v>311</v>
      </c>
      <c r="B70" s="64">
        <f t="shared" si="0"/>
        <v>71742</v>
      </c>
      <c r="C70" s="76">
        <v>4951</v>
      </c>
      <c r="D70" s="77">
        <v>64791</v>
      </c>
      <c r="E70" s="76"/>
      <c r="F70" s="55"/>
      <c r="G70" s="77">
        <v>2000</v>
      </c>
      <c r="H70" s="76"/>
      <c r="I70" s="76"/>
    </row>
    <row r="71" spans="1:11" ht="31.5" customHeight="1" x14ac:dyDescent="0.25">
      <c r="A71" s="128" t="s">
        <v>468</v>
      </c>
      <c r="B71" s="64">
        <f t="shared" si="0"/>
        <v>100000</v>
      </c>
      <c r="C71" s="76"/>
      <c r="D71" s="77"/>
      <c r="E71" s="76"/>
      <c r="F71" s="55"/>
      <c r="G71" s="77">
        <v>100000</v>
      </c>
      <c r="H71" s="76"/>
      <c r="I71" s="76"/>
    </row>
    <row r="72" spans="1:11" ht="31.5" customHeight="1" x14ac:dyDescent="0.25">
      <c r="A72" s="128" t="s">
        <v>469</v>
      </c>
      <c r="B72" s="64">
        <f t="shared" si="0"/>
        <v>271356</v>
      </c>
      <c r="C72" s="76"/>
      <c r="D72" s="77"/>
      <c r="E72" s="76"/>
      <c r="F72" s="55"/>
      <c r="G72" s="77">
        <v>271356</v>
      </c>
      <c r="H72" s="76"/>
      <c r="I72" s="76"/>
    </row>
    <row r="73" spans="1:11" ht="31.5" customHeight="1" x14ac:dyDescent="0.25">
      <c r="A73" s="123" t="s">
        <v>176</v>
      </c>
      <c r="B73" s="64">
        <f t="shared" si="0"/>
        <v>277863</v>
      </c>
      <c r="C73" s="55">
        <v>0</v>
      </c>
      <c r="D73" s="55">
        <v>179285</v>
      </c>
      <c r="E73" s="55">
        <v>0</v>
      </c>
      <c r="F73" s="55">
        <v>0</v>
      </c>
      <c r="G73" s="55">
        <v>98578</v>
      </c>
      <c r="H73" s="57">
        <v>0</v>
      </c>
      <c r="I73" s="57">
        <v>0</v>
      </c>
    </row>
    <row r="74" spans="1:11" ht="27" customHeight="1" x14ac:dyDescent="0.25">
      <c r="A74" s="123" t="s">
        <v>177</v>
      </c>
      <c r="B74" s="64">
        <f t="shared" si="0"/>
        <v>39418</v>
      </c>
      <c r="C74" s="55">
        <v>0</v>
      </c>
      <c r="D74" s="55">
        <v>39418</v>
      </c>
      <c r="E74" s="55">
        <v>0</v>
      </c>
      <c r="F74" s="55">
        <v>0</v>
      </c>
      <c r="G74" s="55">
        <v>0</v>
      </c>
      <c r="H74" s="57">
        <v>0</v>
      </c>
      <c r="I74" s="57">
        <v>0</v>
      </c>
    </row>
    <row r="75" spans="1:11" ht="30.75" customHeight="1" x14ac:dyDescent="0.25">
      <c r="A75" s="123" t="s">
        <v>178</v>
      </c>
      <c r="B75" s="64">
        <f t="shared" si="0"/>
        <v>30842</v>
      </c>
      <c r="C75" s="55">
        <v>0</v>
      </c>
      <c r="D75" s="55">
        <v>30842</v>
      </c>
      <c r="E75" s="55">
        <v>0</v>
      </c>
      <c r="F75" s="55">
        <v>0</v>
      </c>
      <c r="G75" s="55">
        <v>0</v>
      </c>
      <c r="H75" s="57">
        <v>0</v>
      </c>
      <c r="I75" s="57">
        <v>0</v>
      </c>
    </row>
    <row r="76" spans="1:11" ht="39" customHeight="1" x14ac:dyDescent="0.25">
      <c r="A76" s="123" t="s">
        <v>179</v>
      </c>
      <c r="B76" s="64">
        <f t="shared" si="0"/>
        <v>61550</v>
      </c>
      <c r="C76" s="55">
        <v>0</v>
      </c>
      <c r="D76" s="55">
        <v>43561</v>
      </c>
      <c r="E76" s="55">
        <v>0</v>
      </c>
      <c r="F76" s="55">
        <v>0</v>
      </c>
      <c r="G76" s="55">
        <v>17989</v>
      </c>
      <c r="H76" s="57">
        <v>0</v>
      </c>
      <c r="I76" s="57">
        <v>0</v>
      </c>
      <c r="K76" s="21"/>
    </row>
    <row r="77" spans="1:11" ht="32.25" customHeight="1" x14ac:dyDescent="0.25">
      <c r="A77" s="123" t="s">
        <v>180</v>
      </c>
      <c r="B77" s="64">
        <f t="shared" si="0"/>
        <v>63824</v>
      </c>
      <c r="C77" s="55">
        <v>0</v>
      </c>
      <c r="D77" s="55">
        <v>63824</v>
      </c>
      <c r="E77" s="55">
        <v>0</v>
      </c>
      <c r="F77" s="55">
        <v>0</v>
      </c>
      <c r="G77" s="55">
        <v>0</v>
      </c>
      <c r="H77" s="57">
        <v>0</v>
      </c>
      <c r="I77" s="57">
        <v>0</v>
      </c>
      <c r="K77" s="21"/>
    </row>
    <row r="78" spans="1:11" ht="33.75" customHeight="1" x14ac:dyDescent="0.25">
      <c r="A78" s="123" t="s">
        <v>181</v>
      </c>
      <c r="B78" s="64">
        <f t="shared" si="0"/>
        <v>33087</v>
      </c>
      <c r="C78" s="55">
        <v>0</v>
      </c>
      <c r="D78" s="55">
        <v>33087</v>
      </c>
      <c r="E78" s="55">
        <v>0</v>
      </c>
      <c r="F78" s="55">
        <v>0</v>
      </c>
      <c r="G78" s="55">
        <v>0</v>
      </c>
      <c r="H78" s="57">
        <v>0</v>
      </c>
      <c r="I78" s="57">
        <v>0</v>
      </c>
      <c r="K78" s="21"/>
    </row>
    <row r="79" spans="1:11" ht="31.5" customHeight="1" x14ac:dyDescent="0.25">
      <c r="A79" s="123" t="s">
        <v>182</v>
      </c>
      <c r="B79" s="64">
        <f t="shared" si="0"/>
        <v>49056</v>
      </c>
      <c r="C79" s="55">
        <v>0</v>
      </c>
      <c r="D79" s="55">
        <v>49056</v>
      </c>
      <c r="E79" s="55">
        <v>0</v>
      </c>
      <c r="F79" s="55">
        <v>0</v>
      </c>
      <c r="G79" s="55">
        <v>0</v>
      </c>
      <c r="H79" s="57">
        <v>0</v>
      </c>
      <c r="I79" s="57">
        <v>0</v>
      </c>
      <c r="K79" s="21"/>
    </row>
    <row r="80" spans="1:11" ht="30" customHeight="1" x14ac:dyDescent="0.25">
      <c r="A80" s="123" t="s">
        <v>183</v>
      </c>
      <c r="B80" s="64">
        <f t="shared" si="0"/>
        <v>24265</v>
      </c>
      <c r="C80" s="55">
        <v>0</v>
      </c>
      <c r="D80" s="55">
        <f>14000+2200+8065</f>
        <v>24265</v>
      </c>
      <c r="E80" s="55">
        <v>0</v>
      </c>
      <c r="F80" s="55">
        <v>0</v>
      </c>
      <c r="G80" s="55">
        <v>0</v>
      </c>
      <c r="H80" s="57">
        <v>0</v>
      </c>
      <c r="I80" s="57">
        <v>0</v>
      </c>
      <c r="K80" s="21"/>
    </row>
    <row r="81" spans="1:11" ht="28.5" customHeight="1" x14ac:dyDescent="0.25">
      <c r="A81" s="123" t="s">
        <v>184</v>
      </c>
      <c r="B81" s="64">
        <f t="shared" si="0"/>
        <v>53621</v>
      </c>
      <c r="C81" s="55">
        <v>0</v>
      </c>
      <c r="D81" s="55">
        <v>53621</v>
      </c>
      <c r="E81" s="55">
        <v>0</v>
      </c>
      <c r="F81" s="55"/>
      <c r="G81" s="55">
        <v>0</v>
      </c>
      <c r="H81" s="57">
        <v>0</v>
      </c>
      <c r="I81" s="57">
        <v>0</v>
      </c>
      <c r="K81" s="21"/>
    </row>
    <row r="82" spans="1:11" ht="30" customHeight="1" x14ac:dyDescent="0.25">
      <c r="A82" s="123" t="s">
        <v>185</v>
      </c>
      <c r="B82" s="64">
        <f t="shared" si="0"/>
        <v>23398</v>
      </c>
      <c r="C82" s="55">
        <v>0</v>
      </c>
      <c r="D82" s="55">
        <v>23398</v>
      </c>
      <c r="E82" s="55">
        <v>0</v>
      </c>
      <c r="F82" s="55">
        <v>0</v>
      </c>
      <c r="G82" s="55">
        <v>0</v>
      </c>
      <c r="H82" s="57">
        <v>0</v>
      </c>
      <c r="I82" s="57">
        <v>0</v>
      </c>
      <c r="K82" s="21"/>
    </row>
    <row r="83" spans="1:11" ht="30" customHeight="1" x14ac:dyDescent="0.25">
      <c r="A83" s="123" t="s">
        <v>186</v>
      </c>
      <c r="B83" s="64">
        <f t="shared" si="0"/>
        <v>34696</v>
      </c>
      <c r="C83" s="55">
        <v>0</v>
      </c>
      <c r="D83" s="55">
        <v>34696</v>
      </c>
      <c r="E83" s="55">
        <v>0</v>
      </c>
      <c r="F83" s="55">
        <v>0</v>
      </c>
      <c r="G83" s="55">
        <v>0</v>
      </c>
      <c r="H83" s="57">
        <v>0</v>
      </c>
      <c r="I83" s="57">
        <v>0</v>
      </c>
      <c r="K83" s="21"/>
    </row>
    <row r="84" spans="1:11" ht="30.75" customHeight="1" x14ac:dyDescent="0.25">
      <c r="A84" s="124" t="s">
        <v>312</v>
      </c>
      <c r="B84" s="64">
        <f t="shared" si="0"/>
        <v>415722</v>
      </c>
      <c r="C84" s="55">
        <v>5804</v>
      </c>
      <c r="D84" s="55">
        <v>8424</v>
      </c>
      <c r="E84" s="55"/>
      <c r="F84" s="55"/>
      <c r="G84" s="55"/>
      <c r="H84" s="57">
        <v>399717</v>
      </c>
      <c r="I84" s="57">
        <v>1777</v>
      </c>
      <c r="K84" s="21"/>
    </row>
    <row r="85" spans="1:11" ht="30.75" customHeight="1" x14ac:dyDescent="0.25">
      <c r="A85" s="124" t="s">
        <v>327</v>
      </c>
      <c r="B85" s="64">
        <f t="shared" ref="B85:B149" si="1">SUM(C85:I85)</f>
        <v>1900</v>
      </c>
      <c r="C85" s="55">
        <v>1900</v>
      </c>
      <c r="D85" s="55"/>
      <c r="E85" s="55"/>
      <c r="F85" s="55"/>
      <c r="G85" s="55"/>
      <c r="H85" s="57"/>
      <c r="I85" s="57"/>
      <c r="K85" s="21"/>
    </row>
    <row r="86" spans="1:11" ht="30" customHeight="1" x14ac:dyDescent="0.25">
      <c r="A86" s="129" t="s">
        <v>314</v>
      </c>
      <c r="B86" s="64">
        <f t="shared" si="1"/>
        <v>3997</v>
      </c>
      <c r="C86" s="77">
        <v>3997</v>
      </c>
      <c r="D86" s="77"/>
      <c r="E86" s="76"/>
      <c r="F86" s="76"/>
      <c r="G86" s="76"/>
      <c r="H86" s="76"/>
      <c r="I86" s="76"/>
      <c r="J86" s="54"/>
      <c r="K86" s="21"/>
    </row>
    <row r="87" spans="1:11" ht="30" customHeight="1" x14ac:dyDescent="0.25">
      <c r="A87" s="129" t="s">
        <v>490</v>
      </c>
      <c r="B87" s="64">
        <f t="shared" si="1"/>
        <v>2508</v>
      </c>
      <c r="C87" s="77">
        <v>2508</v>
      </c>
      <c r="D87" s="77"/>
      <c r="E87" s="76"/>
      <c r="F87" s="76"/>
      <c r="G87" s="76"/>
      <c r="H87" s="76"/>
      <c r="I87" s="76"/>
      <c r="J87" s="54"/>
      <c r="K87" s="21"/>
    </row>
    <row r="88" spans="1:11" ht="30" customHeight="1" x14ac:dyDescent="0.25">
      <c r="A88" s="124" t="s">
        <v>320</v>
      </c>
      <c r="B88" s="64">
        <f t="shared" si="1"/>
        <v>601454</v>
      </c>
      <c r="C88" s="55"/>
      <c r="D88" s="55"/>
      <c r="E88" s="55"/>
      <c r="F88" s="55"/>
      <c r="G88" s="55">
        <v>601454</v>
      </c>
      <c r="H88" s="57"/>
      <c r="I88" s="57"/>
      <c r="K88" s="21"/>
    </row>
    <row r="89" spans="1:11" ht="22.5" customHeight="1" x14ac:dyDescent="0.25">
      <c r="A89" s="124" t="s">
        <v>319</v>
      </c>
      <c r="B89" s="64">
        <f t="shared" si="1"/>
        <v>2350</v>
      </c>
      <c r="C89" s="58"/>
      <c r="D89" s="58">
        <v>2350</v>
      </c>
      <c r="E89" s="58"/>
      <c r="F89" s="58"/>
      <c r="G89" s="58"/>
      <c r="H89" s="59"/>
      <c r="I89" s="59"/>
      <c r="K89" s="21"/>
    </row>
    <row r="90" spans="1:11" ht="30" customHeight="1" x14ac:dyDescent="0.25">
      <c r="A90" s="124" t="s">
        <v>318</v>
      </c>
      <c r="B90" s="64">
        <f t="shared" si="1"/>
        <v>42799</v>
      </c>
      <c r="C90" s="55">
        <v>387</v>
      </c>
      <c r="D90" s="55"/>
      <c r="E90" s="55"/>
      <c r="F90" s="55"/>
      <c r="G90" s="55">
        <v>42412</v>
      </c>
      <c r="H90" s="57"/>
      <c r="I90" s="57"/>
      <c r="J90" s="54"/>
      <c r="K90" s="21"/>
    </row>
    <row r="91" spans="1:11" ht="24" customHeight="1" x14ac:dyDescent="0.25">
      <c r="A91" s="124" t="s">
        <v>317</v>
      </c>
      <c r="B91" s="64">
        <f t="shared" si="1"/>
        <v>21334</v>
      </c>
      <c r="C91" s="55">
        <f>16270+102</f>
        <v>16372</v>
      </c>
      <c r="D91" s="55">
        <f>5064-102</f>
        <v>4962</v>
      </c>
      <c r="E91" s="55"/>
      <c r="F91" s="55"/>
      <c r="G91" s="55"/>
      <c r="H91" s="57"/>
      <c r="I91" s="57"/>
      <c r="J91" s="54"/>
      <c r="K91" s="21"/>
    </row>
    <row r="92" spans="1:11" ht="24" customHeight="1" x14ac:dyDescent="0.25">
      <c r="A92" s="124" t="s">
        <v>316</v>
      </c>
      <c r="B92" s="64">
        <f t="shared" si="1"/>
        <v>1628</v>
      </c>
      <c r="C92" s="55"/>
      <c r="D92" s="55">
        <v>1628</v>
      </c>
      <c r="E92" s="55"/>
      <c r="F92" s="55"/>
      <c r="G92" s="55"/>
      <c r="H92" s="57"/>
      <c r="I92" s="57"/>
      <c r="J92" s="54"/>
      <c r="K92" s="21"/>
    </row>
    <row r="93" spans="1:11" ht="43.5" customHeight="1" x14ac:dyDescent="0.25">
      <c r="A93" s="124" t="s">
        <v>315</v>
      </c>
      <c r="B93" s="64">
        <f t="shared" si="1"/>
        <v>265473</v>
      </c>
      <c r="C93" s="55">
        <v>5534</v>
      </c>
      <c r="D93" s="55">
        <v>2744</v>
      </c>
      <c r="E93" s="55"/>
      <c r="F93" s="55"/>
      <c r="G93" s="55">
        <v>96683</v>
      </c>
      <c r="H93" s="57"/>
      <c r="I93" s="57">
        <v>160512</v>
      </c>
      <c r="K93" s="21"/>
    </row>
    <row r="94" spans="1:11" ht="53.25" customHeight="1" x14ac:dyDescent="0.25">
      <c r="A94" s="120" t="s">
        <v>194</v>
      </c>
      <c r="B94" s="64">
        <f t="shared" si="1"/>
        <v>36209</v>
      </c>
      <c r="C94" s="55">
        <v>0</v>
      </c>
      <c r="D94" s="55">
        <v>0</v>
      </c>
      <c r="E94" s="55">
        <v>0</v>
      </c>
      <c r="F94" s="55">
        <v>0</v>
      </c>
      <c r="G94" s="55">
        <v>36209</v>
      </c>
      <c r="H94" s="57">
        <v>0</v>
      </c>
      <c r="I94" s="57">
        <v>0</v>
      </c>
      <c r="K94" s="21"/>
    </row>
    <row r="95" spans="1:11" ht="43.5" customHeight="1" x14ac:dyDescent="0.25">
      <c r="A95" s="120" t="s">
        <v>196</v>
      </c>
      <c r="B95" s="64">
        <f t="shared" si="1"/>
        <v>2832</v>
      </c>
      <c r="C95" s="55">
        <v>0</v>
      </c>
      <c r="D95" s="55">
        <v>251</v>
      </c>
      <c r="E95" s="55">
        <v>2581</v>
      </c>
      <c r="F95" s="55">
        <v>0</v>
      </c>
      <c r="G95" s="55">
        <v>0</v>
      </c>
      <c r="H95" s="57">
        <v>0</v>
      </c>
      <c r="I95" s="57">
        <v>0</v>
      </c>
      <c r="K95" s="21"/>
    </row>
    <row r="96" spans="1:11" ht="50.25" customHeight="1" x14ac:dyDescent="0.25">
      <c r="A96" s="122" t="s">
        <v>211</v>
      </c>
      <c r="B96" s="64">
        <f t="shared" si="1"/>
        <v>93929</v>
      </c>
      <c r="C96" s="55">
        <v>0</v>
      </c>
      <c r="D96" s="55">
        <v>0</v>
      </c>
      <c r="E96" s="55">
        <v>0</v>
      </c>
      <c r="F96" s="55">
        <v>0</v>
      </c>
      <c r="G96" s="55">
        <v>93929</v>
      </c>
      <c r="H96" s="57">
        <v>0</v>
      </c>
      <c r="I96" s="57">
        <v>0</v>
      </c>
      <c r="K96" s="21"/>
    </row>
    <row r="97" spans="1:11" ht="27.75" customHeight="1" x14ac:dyDescent="0.25">
      <c r="A97" s="122" t="s">
        <v>212</v>
      </c>
      <c r="B97" s="64">
        <f t="shared" si="1"/>
        <v>140999</v>
      </c>
      <c r="C97" s="55">
        <v>0</v>
      </c>
      <c r="D97" s="55">
        <v>0</v>
      </c>
      <c r="E97" s="55">
        <v>0</v>
      </c>
      <c r="F97" s="55">
        <v>0</v>
      </c>
      <c r="G97" s="55">
        <v>140999</v>
      </c>
      <c r="H97" s="57">
        <v>0</v>
      </c>
      <c r="I97" s="57">
        <v>0</v>
      </c>
      <c r="K97" s="21"/>
    </row>
    <row r="98" spans="1:11" ht="101.25" customHeight="1" x14ac:dyDescent="0.25">
      <c r="A98" s="120" t="s">
        <v>220</v>
      </c>
      <c r="B98" s="64">
        <f t="shared" si="1"/>
        <v>2617</v>
      </c>
      <c r="C98" s="55">
        <v>0</v>
      </c>
      <c r="D98" s="55">
        <v>2617</v>
      </c>
      <c r="E98" s="55">
        <v>0</v>
      </c>
      <c r="F98" s="55">
        <v>0</v>
      </c>
      <c r="G98" s="55">
        <v>0</v>
      </c>
      <c r="H98" s="57">
        <v>0</v>
      </c>
      <c r="I98" s="57">
        <v>0</v>
      </c>
      <c r="K98" s="21"/>
    </row>
    <row r="99" spans="1:11" ht="62.25" customHeight="1" x14ac:dyDescent="0.25">
      <c r="A99" s="122" t="s">
        <v>171</v>
      </c>
      <c r="B99" s="64">
        <f t="shared" si="1"/>
        <v>181784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7">
        <v>0</v>
      </c>
      <c r="I99" s="57">
        <v>181784</v>
      </c>
      <c r="K99" s="21"/>
    </row>
    <row r="100" spans="1:11" ht="66.75" customHeight="1" x14ac:dyDescent="0.25">
      <c r="A100" s="120" t="s">
        <v>172</v>
      </c>
      <c r="B100" s="64">
        <f t="shared" si="1"/>
        <v>314317</v>
      </c>
      <c r="C100" s="55">
        <v>0</v>
      </c>
      <c r="D100" s="55">
        <v>0</v>
      </c>
      <c r="E100" s="55">
        <v>0</v>
      </c>
      <c r="F100" s="55">
        <v>0</v>
      </c>
      <c r="G100" s="55">
        <v>314317</v>
      </c>
      <c r="H100" s="57">
        <v>0</v>
      </c>
      <c r="I100" s="57">
        <v>0</v>
      </c>
      <c r="J100" s="54"/>
      <c r="K100" s="21"/>
    </row>
    <row r="101" spans="1:11" ht="64.5" customHeight="1" x14ac:dyDescent="0.25">
      <c r="A101" s="120" t="s">
        <v>174</v>
      </c>
      <c r="B101" s="64">
        <f t="shared" si="1"/>
        <v>3490750</v>
      </c>
      <c r="C101" s="55">
        <v>0</v>
      </c>
      <c r="D101" s="55">
        <v>0</v>
      </c>
      <c r="E101" s="55">
        <v>0</v>
      </c>
      <c r="F101" s="55">
        <v>0</v>
      </c>
      <c r="G101" s="55">
        <v>3490750</v>
      </c>
      <c r="H101" s="57">
        <v>0</v>
      </c>
      <c r="I101" s="57">
        <v>0</v>
      </c>
      <c r="K101" s="21"/>
    </row>
    <row r="102" spans="1:11" ht="53.25" customHeight="1" x14ac:dyDescent="0.25">
      <c r="A102" s="120" t="s">
        <v>175</v>
      </c>
      <c r="B102" s="64">
        <f t="shared" si="1"/>
        <v>39282</v>
      </c>
      <c r="C102" s="55">
        <f>9940+458</f>
        <v>10398</v>
      </c>
      <c r="D102" s="55">
        <f>5596+3356</f>
        <v>8952</v>
      </c>
      <c r="E102" s="55">
        <v>0</v>
      </c>
      <c r="F102" s="55">
        <v>0</v>
      </c>
      <c r="G102" s="55">
        <f>23746-3814</f>
        <v>19932</v>
      </c>
      <c r="H102" s="57">
        <v>0</v>
      </c>
      <c r="I102" s="57">
        <v>0</v>
      </c>
      <c r="K102" s="21"/>
    </row>
    <row r="103" spans="1:11" ht="35.25" customHeight="1" x14ac:dyDescent="0.25">
      <c r="A103" s="124" t="s">
        <v>476</v>
      </c>
      <c r="B103" s="64">
        <f t="shared" si="1"/>
        <v>5053</v>
      </c>
      <c r="C103" s="55"/>
      <c r="D103" s="55">
        <v>5053</v>
      </c>
      <c r="E103" s="55"/>
      <c r="F103" s="55"/>
      <c r="G103" s="55"/>
      <c r="H103" s="57"/>
      <c r="I103" s="57"/>
      <c r="K103" s="21"/>
    </row>
    <row r="104" spans="1:11" ht="35.25" customHeight="1" x14ac:dyDescent="0.25">
      <c r="A104" s="124" t="s">
        <v>477</v>
      </c>
      <c r="B104" s="64">
        <f t="shared" si="1"/>
        <v>6540</v>
      </c>
      <c r="C104" s="55"/>
      <c r="D104" s="55">
        <v>6540</v>
      </c>
      <c r="E104" s="55"/>
      <c r="F104" s="55"/>
      <c r="G104" s="55"/>
      <c r="H104" s="57"/>
      <c r="I104" s="57"/>
      <c r="K104" s="21"/>
    </row>
    <row r="105" spans="1:11" ht="49.5" customHeight="1" x14ac:dyDescent="0.25">
      <c r="A105" s="124" t="s">
        <v>478</v>
      </c>
      <c r="B105" s="64">
        <f t="shared" si="1"/>
        <v>15571</v>
      </c>
      <c r="C105" s="55"/>
      <c r="D105" s="55">
        <v>14780</v>
      </c>
      <c r="E105" s="55"/>
      <c r="F105" s="55"/>
      <c r="G105" s="55">
        <v>791</v>
      </c>
      <c r="H105" s="57"/>
      <c r="I105" s="57"/>
      <c r="K105" s="21"/>
    </row>
    <row r="106" spans="1:11" ht="28.5" customHeight="1" x14ac:dyDescent="0.25">
      <c r="A106" s="124" t="s">
        <v>479</v>
      </c>
      <c r="B106" s="64">
        <f t="shared" si="1"/>
        <v>13665</v>
      </c>
      <c r="C106" s="55"/>
      <c r="D106" s="55">
        <v>6145</v>
      </c>
      <c r="E106" s="55"/>
      <c r="F106" s="55"/>
      <c r="G106" s="55">
        <v>7520</v>
      </c>
      <c r="H106" s="57"/>
      <c r="I106" s="57"/>
      <c r="K106" s="21"/>
    </row>
    <row r="107" spans="1:11" ht="45" customHeight="1" x14ac:dyDescent="0.25">
      <c r="A107" s="120" t="s">
        <v>208</v>
      </c>
      <c r="B107" s="64">
        <f t="shared" si="1"/>
        <v>155356</v>
      </c>
      <c r="C107" s="55"/>
      <c r="D107" s="55">
        <v>9330</v>
      </c>
      <c r="E107" s="55">
        <v>0</v>
      </c>
      <c r="F107" s="55"/>
      <c r="G107" s="55">
        <v>146026</v>
      </c>
      <c r="H107" s="57"/>
      <c r="I107" s="57"/>
    </row>
    <row r="108" spans="1:11" ht="55.5" customHeight="1" x14ac:dyDescent="0.25">
      <c r="A108" s="130" t="s">
        <v>213</v>
      </c>
      <c r="B108" s="64">
        <f t="shared" si="1"/>
        <v>405772</v>
      </c>
      <c r="C108" s="55">
        <v>0</v>
      </c>
      <c r="D108" s="55">
        <v>0</v>
      </c>
      <c r="E108" s="55">
        <v>0</v>
      </c>
      <c r="F108" s="55">
        <v>0</v>
      </c>
      <c r="G108" s="55">
        <v>405772</v>
      </c>
      <c r="H108" s="57">
        <v>0</v>
      </c>
      <c r="I108" s="57">
        <v>0</v>
      </c>
    </row>
    <row r="109" spans="1:11" ht="48.75" customHeight="1" x14ac:dyDescent="0.25">
      <c r="A109" s="130" t="s">
        <v>189</v>
      </c>
      <c r="B109" s="64">
        <f t="shared" si="1"/>
        <v>65500</v>
      </c>
      <c r="C109" s="55">
        <v>0</v>
      </c>
      <c r="D109" s="55">
        <v>65500</v>
      </c>
      <c r="E109" s="55">
        <v>0</v>
      </c>
      <c r="F109" s="55">
        <v>0</v>
      </c>
      <c r="G109" s="55">
        <v>0</v>
      </c>
      <c r="H109" s="57">
        <v>0</v>
      </c>
      <c r="I109" s="57">
        <v>0</v>
      </c>
    </row>
    <row r="110" spans="1:11" ht="81" customHeight="1" x14ac:dyDescent="0.25">
      <c r="A110" s="130" t="s">
        <v>190</v>
      </c>
      <c r="B110" s="64">
        <f t="shared" si="1"/>
        <v>24008</v>
      </c>
      <c r="C110" s="55">
        <v>0</v>
      </c>
      <c r="D110" s="55">
        <v>24008</v>
      </c>
      <c r="E110" s="55">
        <v>0</v>
      </c>
      <c r="F110" s="55">
        <v>0</v>
      </c>
      <c r="G110" s="55">
        <v>0</v>
      </c>
      <c r="H110" s="57">
        <v>0</v>
      </c>
      <c r="I110" s="57">
        <v>0</v>
      </c>
    </row>
    <row r="111" spans="1:11" ht="30" customHeight="1" x14ac:dyDescent="0.25">
      <c r="A111" s="123" t="s">
        <v>328</v>
      </c>
      <c r="B111" s="64">
        <f t="shared" si="1"/>
        <v>712</v>
      </c>
      <c r="C111" s="55">
        <v>0</v>
      </c>
      <c r="D111" s="55">
        <v>712</v>
      </c>
      <c r="E111" s="55">
        <v>0</v>
      </c>
      <c r="F111" s="55">
        <v>0</v>
      </c>
      <c r="G111" s="55">
        <v>0</v>
      </c>
      <c r="H111" s="57">
        <v>0</v>
      </c>
      <c r="I111" s="57">
        <v>0</v>
      </c>
    </row>
    <row r="112" spans="1:11" ht="41.25" customHeight="1" x14ac:dyDescent="0.25">
      <c r="A112" s="119" t="s">
        <v>329</v>
      </c>
      <c r="B112" s="64">
        <f t="shared" si="1"/>
        <v>6046</v>
      </c>
      <c r="C112" s="55">
        <v>0</v>
      </c>
      <c r="D112" s="55">
        <v>6046</v>
      </c>
      <c r="E112" s="55">
        <v>0</v>
      </c>
      <c r="F112" s="55">
        <v>0</v>
      </c>
      <c r="G112" s="55">
        <v>0</v>
      </c>
      <c r="H112" s="57">
        <v>0</v>
      </c>
      <c r="I112" s="57">
        <v>0</v>
      </c>
    </row>
    <row r="113" spans="1:11" ht="35.25" customHeight="1" x14ac:dyDescent="0.25">
      <c r="A113" s="119" t="s">
        <v>330</v>
      </c>
      <c r="B113" s="64">
        <f t="shared" si="1"/>
        <v>7186</v>
      </c>
      <c r="C113" s="55">
        <v>0</v>
      </c>
      <c r="D113" s="55">
        <v>7186</v>
      </c>
      <c r="E113" s="55">
        <v>0</v>
      </c>
      <c r="F113" s="55">
        <v>0</v>
      </c>
      <c r="G113" s="55">
        <v>0</v>
      </c>
      <c r="H113" s="57">
        <v>0</v>
      </c>
      <c r="I113" s="57">
        <v>0</v>
      </c>
    </row>
    <row r="114" spans="1:11" ht="36.75" customHeight="1" x14ac:dyDescent="0.25">
      <c r="A114" s="123" t="s">
        <v>331</v>
      </c>
      <c r="B114" s="64">
        <f t="shared" si="1"/>
        <v>35783</v>
      </c>
      <c r="C114" s="55">
        <v>19497</v>
      </c>
      <c r="D114" s="55">
        <v>13086</v>
      </c>
      <c r="E114" s="55">
        <v>0</v>
      </c>
      <c r="F114" s="55">
        <v>0</v>
      </c>
      <c r="G114" s="55">
        <v>3200</v>
      </c>
      <c r="H114" s="57">
        <v>0</v>
      </c>
      <c r="I114" s="57">
        <v>0</v>
      </c>
    </row>
    <row r="115" spans="1:11" ht="38.25" customHeight="1" x14ac:dyDescent="0.25">
      <c r="A115" s="123" t="s">
        <v>332</v>
      </c>
      <c r="B115" s="64">
        <f t="shared" si="1"/>
        <v>6840</v>
      </c>
      <c r="C115" s="55">
        <v>0</v>
      </c>
      <c r="D115" s="55">
        <v>6840</v>
      </c>
      <c r="E115" s="55">
        <v>0</v>
      </c>
      <c r="F115" s="55">
        <v>0</v>
      </c>
      <c r="G115" s="55">
        <v>0</v>
      </c>
      <c r="H115" s="57">
        <v>0</v>
      </c>
      <c r="I115" s="57">
        <v>0</v>
      </c>
    </row>
    <row r="116" spans="1:11" ht="52.5" customHeight="1" x14ac:dyDescent="0.25">
      <c r="A116" s="123" t="s">
        <v>333</v>
      </c>
      <c r="B116" s="64">
        <f t="shared" si="1"/>
        <v>7858</v>
      </c>
      <c r="C116" s="55">
        <v>0</v>
      </c>
      <c r="D116" s="55">
        <v>7858</v>
      </c>
      <c r="E116" s="55">
        <v>0</v>
      </c>
      <c r="F116" s="55">
        <v>0</v>
      </c>
      <c r="G116" s="55">
        <v>0</v>
      </c>
      <c r="H116" s="57">
        <v>0</v>
      </c>
      <c r="I116" s="57">
        <v>0</v>
      </c>
    </row>
    <row r="117" spans="1:11" ht="36.75" customHeight="1" x14ac:dyDescent="0.25">
      <c r="A117" s="123" t="s">
        <v>334</v>
      </c>
      <c r="B117" s="64">
        <f t="shared" si="1"/>
        <v>2566</v>
      </c>
      <c r="C117" s="55">
        <v>0</v>
      </c>
      <c r="D117" s="55">
        <v>2566</v>
      </c>
      <c r="E117" s="55">
        <v>0</v>
      </c>
      <c r="F117" s="55">
        <v>0</v>
      </c>
      <c r="G117" s="55">
        <v>0</v>
      </c>
      <c r="H117" s="57">
        <v>0</v>
      </c>
      <c r="I117" s="57">
        <v>0</v>
      </c>
    </row>
    <row r="118" spans="1:11" ht="34.5" customHeight="1" x14ac:dyDescent="0.25">
      <c r="A118" s="124" t="s">
        <v>343</v>
      </c>
      <c r="B118" s="64">
        <f t="shared" si="1"/>
        <v>12365</v>
      </c>
      <c r="C118" s="55">
        <v>0</v>
      </c>
      <c r="D118" s="55">
        <v>12365</v>
      </c>
      <c r="E118" s="55">
        <v>0</v>
      </c>
      <c r="F118" s="55">
        <v>0</v>
      </c>
      <c r="G118" s="55">
        <v>0</v>
      </c>
      <c r="H118" s="57">
        <v>0</v>
      </c>
      <c r="I118" s="57">
        <v>0</v>
      </c>
    </row>
    <row r="119" spans="1:11" ht="48.75" customHeight="1" x14ac:dyDescent="0.25">
      <c r="A119" s="124" t="s">
        <v>342</v>
      </c>
      <c r="B119" s="64">
        <f t="shared" si="1"/>
        <v>6046</v>
      </c>
      <c r="C119" s="55">
        <v>0</v>
      </c>
      <c r="D119" s="55">
        <v>6046</v>
      </c>
      <c r="E119" s="55">
        <v>0</v>
      </c>
      <c r="F119" s="55">
        <v>0</v>
      </c>
      <c r="G119" s="55">
        <v>0</v>
      </c>
      <c r="H119" s="57">
        <v>0</v>
      </c>
      <c r="I119" s="57">
        <v>0</v>
      </c>
      <c r="K119" s="21"/>
    </row>
    <row r="120" spans="1:11" ht="48" customHeight="1" x14ac:dyDescent="0.25">
      <c r="A120" s="124" t="s">
        <v>341</v>
      </c>
      <c r="B120" s="64">
        <f t="shared" si="1"/>
        <v>2701</v>
      </c>
      <c r="C120" s="55">
        <v>0</v>
      </c>
      <c r="D120" s="55">
        <f>3764-1063</f>
        <v>2701</v>
      </c>
      <c r="E120" s="55">
        <v>0</v>
      </c>
      <c r="F120" s="55">
        <v>0</v>
      </c>
      <c r="G120" s="55">
        <v>0</v>
      </c>
      <c r="H120" s="57">
        <v>0</v>
      </c>
      <c r="I120" s="57">
        <v>0</v>
      </c>
      <c r="J120" s="54"/>
      <c r="K120" s="21"/>
    </row>
    <row r="121" spans="1:11" ht="51" customHeight="1" x14ac:dyDescent="0.25">
      <c r="A121" s="124" t="s">
        <v>340</v>
      </c>
      <c r="B121" s="64">
        <f t="shared" si="1"/>
        <v>3575</v>
      </c>
      <c r="C121" s="58">
        <v>0</v>
      </c>
      <c r="D121" s="58">
        <v>3575</v>
      </c>
      <c r="E121" s="58">
        <v>0</v>
      </c>
      <c r="F121" s="58">
        <v>0</v>
      </c>
      <c r="G121" s="58">
        <v>0</v>
      </c>
      <c r="H121" s="59">
        <v>0</v>
      </c>
      <c r="I121" s="59">
        <v>0</v>
      </c>
      <c r="K121" s="21"/>
    </row>
    <row r="122" spans="1:11" ht="45.75" customHeight="1" x14ac:dyDescent="0.25">
      <c r="A122" s="124" t="s">
        <v>339</v>
      </c>
      <c r="B122" s="64">
        <f t="shared" si="1"/>
        <v>1179</v>
      </c>
      <c r="C122" s="55">
        <v>0</v>
      </c>
      <c r="D122" s="55">
        <v>1179</v>
      </c>
      <c r="E122" s="55">
        <v>0</v>
      </c>
      <c r="F122" s="55">
        <v>0</v>
      </c>
      <c r="G122" s="55">
        <v>0</v>
      </c>
      <c r="H122" s="57">
        <v>0</v>
      </c>
      <c r="I122" s="57">
        <v>0</v>
      </c>
      <c r="K122" s="21"/>
    </row>
    <row r="123" spans="1:11" ht="43.5" customHeight="1" x14ac:dyDescent="0.25">
      <c r="A123" s="124" t="s">
        <v>338</v>
      </c>
      <c r="B123" s="64">
        <f t="shared" si="1"/>
        <v>694</v>
      </c>
      <c r="C123" s="55">
        <v>0</v>
      </c>
      <c r="D123" s="55">
        <v>694</v>
      </c>
      <c r="E123" s="55">
        <v>0</v>
      </c>
      <c r="F123" s="55">
        <v>0</v>
      </c>
      <c r="G123" s="55">
        <v>0</v>
      </c>
      <c r="H123" s="57">
        <v>0</v>
      </c>
      <c r="I123" s="57">
        <v>0</v>
      </c>
      <c r="K123" s="21"/>
    </row>
    <row r="124" spans="1:11" ht="46.5" customHeight="1" x14ac:dyDescent="0.25">
      <c r="A124" s="124" t="s">
        <v>337</v>
      </c>
      <c r="B124" s="64">
        <f t="shared" si="1"/>
        <v>6625</v>
      </c>
      <c r="C124" s="55">
        <v>0</v>
      </c>
      <c r="D124" s="55">
        <v>6625</v>
      </c>
      <c r="E124" s="55">
        <v>0</v>
      </c>
      <c r="F124" s="55">
        <v>0</v>
      </c>
      <c r="G124" s="55">
        <v>0</v>
      </c>
      <c r="H124" s="57">
        <v>0</v>
      </c>
      <c r="I124" s="57">
        <v>0</v>
      </c>
      <c r="K124" s="21"/>
    </row>
    <row r="125" spans="1:11" ht="39" customHeight="1" x14ac:dyDescent="0.25">
      <c r="A125" s="124" t="s">
        <v>336</v>
      </c>
      <c r="B125" s="64">
        <f t="shared" si="1"/>
        <v>17871</v>
      </c>
      <c r="C125" s="55">
        <v>0</v>
      </c>
      <c r="D125" s="55">
        <v>16673</v>
      </c>
      <c r="E125" s="55">
        <v>0</v>
      </c>
      <c r="F125" s="55">
        <v>0</v>
      </c>
      <c r="G125" s="55">
        <v>1198</v>
      </c>
      <c r="H125" s="57">
        <v>0</v>
      </c>
      <c r="I125" s="57">
        <v>0</v>
      </c>
      <c r="K125" s="21"/>
    </row>
    <row r="126" spans="1:11" ht="50.25" customHeight="1" x14ac:dyDescent="0.25">
      <c r="A126" s="124" t="s">
        <v>335</v>
      </c>
      <c r="B126" s="64">
        <f t="shared" si="1"/>
        <v>3000</v>
      </c>
      <c r="C126" s="55">
        <v>0</v>
      </c>
      <c r="D126" s="55">
        <v>3000</v>
      </c>
      <c r="E126" s="55">
        <v>0</v>
      </c>
      <c r="F126" s="55">
        <v>0</v>
      </c>
      <c r="G126" s="55">
        <v>0</v>
      </c>
      <c r="H126" s="57">
        <v>0</v>
      </c>
      <c r="I126" s="57">
        <v>0</v>
      </c>
      <c r="K126" s="21"/>
    </row>
    <row r="127" spans="1:11" ht="32.25" customHeight="1" x14ac:dyDescent="0.25">
      <c r="A127" s="120" t="s">
        <v>19</v>
      </c>
      <c r="B127" s="64">
        <f t="shared" si="1"/>
        <v>166093</v>
      </c>
      <c r="C127" s="55">
        <v>0</v>
      </c>
      <c r="D127" s="55">
        <f>114683+10820+7578</f>
        <v>133081</v>
      </c>
      <c r="E127" s="55">
        <v>0</v>
      </c>
      <c r="F127" s="55">
        <v>0</v>
      </c>
      <c r="G127" s="55">
        <f>43832-10820</f>
        <v>33012</v>
      </c>
      <c r="H127" s="57">
        <v>0</v>
      </c>
      <c r="I127" s="57">
        <v>0</v>
      </c>
      <c r="K127" s="21"/>
    </row>
    <row r="128" spans="1:11" ht="35.25" customHeight="1" x14ac:dyDescent="0.25">
      <c r="A128" s="120" t="s">
        <v>20</v>
      </c>
      <c r="B128" s="64">
        <f t="shared" si="1"/>
        <v>129940</v>
      </c>
      <c r="C128" s="55">
        <v>0</v>
      </c>
      <c r="D128" s="55">
        <f>97940</f>
        <v>97940</v>
      </c>
      <c r="E128" s="55">
        <v>0</v>
      </c>
      <c r="F128" s="55">
        <v>0</v>
      </c>
      <c r="G128" s="55">
        <v>10000</v>
      </c>
      <c r="H128" s="57">
        <f>22000</f>
        <v>22000</v>
      </c>
      <c r="I128" s="57">
        <v>0</v>
      </c>
      <c r="K128" s="21"/>
    </row>
    <row r="129" spans="1:11" ht="38.25" customHeight="1" x14ac:dyDescent="0.25">
      <c r="A129" s="120" t="s">
        <v>21</v>
      </c>
      <c r="B129" s="64">
        <f t="shared" si="1"/>
        <v>20177</v>
      </c>
      <c r="C129" s="55">
        <v>11571</v>
      </c>
      <c r="D129" s="55">
        <f>7456-2150</f>
        <v>5306</v>
      </c>
      <c r="E129" s="55">
        <v>0</v>
      </c>
      <c r="F129" s="55">
        <v>0</v>
      </c>
      <c r="G129" s="55">
        <v>3300</v>
      </c>
      <c r="H129" s="57">
        <v>0</v>
      </c>
      <c r="I129" s="57">
        <v>0</v>
      </c>
      <c r="J129" s="54"/>
      <c r="K129" s="21"/>
    </row>
    <row r="130" spans="1:11" ht="31.5" customHeight="1" x14ac:dyDescent="0.25">
      <c r="A130" s="120" t="s">
        <v>22</v>
      </c>
      <c r="B130" s="64">
        <f t="shared" si="1"/>
        <v>73347</v>
      </c>
      <c r="C130" s="55">
        <v>42614</v>
      </c>
      <c r="D130" s="55">
        <f>26288+1761</f>
        <v>28049</v>
      </c>
      <c r="E130" s="55">
        <v>0</v>
      </c>
      <c r="F130" s="55">
        <v>0</v>
      </c>
      <c r="G130" s="55">
        <f>2700-16</f>
        <v>2684</v>
      </c>
      <c r="H130" s="57">
        <v>0</v>
      </c>
      <c r="I130" s="57">
        <v>0</v>
      </c>
      <c r="K130" s="21"/>
    </row>
    <row r="131" spans="1:11" ht="31.5" customHeight="1" x14ac:dyDescent="0.25">
      <c r="A131" s="120" t="s">
        <v>23</v>
      </c>
      <c r="B131" s="64">
        <f t="shared" si="1"/>
        <v>38268</v>
      </c>
      <c r="C131" s="55">
        <v>27230</v>
      </c>
      <c r="D131" s="55">
        <f>10827-388</f>
        <v>10439</v>
      </c>
      <c r="E131" s="55">
        <v>0</v>
      </c>
      <c r="F131" s="55">
        <v>0</v>
      </c>
      <c r="G131" s="55">
        <v>599</v>
      </c>
      <c r="H131" s="57">
        <v>0</v>
      </c>
      <c r="I131" s="57">
        <v>0</v>
      </c>
      <c r="K131" s="21"/>
    </row>
    <row r="132" spans="1:11" ht="29.25" customHeight="1" x14ac:dyDescent="0.25">
      <c r="A132" s="120" t="s">
        <v>24</v>
      </c>
      <c r="B132" s="64">
        <f t="shared" si="1"/>
        <v>58370</v>
      </c>
      <c r="C132" s="55">
        <v>34776</v>
      </c>
      <c r="D132" s="55">
        <v>12556</v>
      </c>
      <c r="E132" s="55">
        <v>0</v>
      </c>
      <c r="F132" s="55">
        <v>0</v>
      </c>
      <c r="G132" s="55">
        <f>12938-1900</f>
        <v>11038</v>
      </c>
      <c r="H132" s="57">
        <v>0</v>
      </c>
      <c r="I132" s="57">
        <v>0</v>
      </c>
      <c r="K132" s="21"/>
    </row>
    <row r="133" spans="1:11" ht="33.75" customHeight="1" x14ac:dyDescent="0.25">
      <c r="A133" s="120" t="s">
        <v>25</v>
      </c>
      <c r="B133" s="64">
        <f t="shared" si="1"/>
        <v>94490</v>
      </c>
      <c r="C133" s="55">
        <v>44715</v>
      </c>
      <c r="D133" s="55">
        <f>22815-720</f>
        <v>22095</v>
      </c>
      <c r="E133" s="55">
        <v>0</v>
      </c>
      <c r="F133" s="55">
        <v>0</v>
      </c>
      <c r="G133" s="55">
        <f>26960+720</f>
        <v>27680</v>
      </c>
      <c r="H133" s="57">
        <v>0</v>
      </c>
      <c r="I133" s="57">
        <v>0</v>
      </c>
      <c r="K133" s="21"/>
    </row>
    <row r="134" spans="1:11" ht="30" x14ac:dyDescent="0.25">
      <c r="A134" s="120" t="s">
        <v>26</v>
      </c>
      <c r="B134" s="64">
        <f t="shared" si="1"/>
        <v>69788</v>
      </c>
      <c r="C134" s="55">
        <f>47098+354</f>
        <v>47452</v>
      </c>
      <c r="D134" s="55">
        <f>18992+3344</f>
        <v>22336</v>
      </c>
      <c r="E134" s="55">
        <v>0</v>
      </c>
      <c r="F134" s="55">
        <v>0</v>
      </c>
      <c r="G134" s="55">
        <v>0</v>
      </c>
      <c r="H134" s="57">
        <v>0</v>
      </c>
      <c r="I134" s="57">
        <v>0</v>
      </c>
      <c r="K134" s="21"/>
    </row>
    <row r="135" spans="1:11" ht="30" x14ac:dyDescent="0.25">
      <c r="A135" s="120" t="s">
        <v>27</v>
      </c>
      <c r="B135" s="64">
        <f t="shared" si="1"/>
        <v>60534</v>
      </c>
      <c r="C135" s="55">
        <v>36689</v>
      </c>
      <c r="D135" s="55">
        <f>24845-3249</f>
        <v>21596</v>
      </c>
      <c r="E135" s="55">
        <v>0</v>
      </c>
      <c r="F135" s="55">
        <v>0</v>
      </c>
      <c r="G135" s="55">
        <v>2249</v>
      </c>
      <c r="H135" s="57">
        <v>0</v>
      </c>
      <c r="I135" s="57">
        <v>0</v>
      </c>
      <c r="K135" s="21"/>
    </row>
    <row r="136" spans="1:11" ht="30" x14ac:dyDescent="0.25">
      <c r="A136" s="120" t="s">
        <v>28</v>
      </c>
      <c r="B136" s="64">
        <f t="shared" si="1"/>
        <v>160563</v>
      </c>
      <c r="C136" s="55">
        <v>77754</v>
      </c>
      <c r="D136" s="55">
        <f>82109-40</f>
        <v>82069</v>
      </c>
      <c r="E136" s="55">
        <v>0</v>
      </c>
      <c r="F136" s="55">
        <v>0</v>
      </c>
      <c r="G136" s="55">
        <f>700+40</f>
        <v>740</v>
      </c>
      <c r="H136" s="57">
        <v>0</v>
      </c>
      <c r="I136" s="57">
        <v>0</v>
      </c>
      <c r="K136" s="21"/>
    </row>
    <row r="137" spans="1:11" ht="28.5" customHeight="1" x14ac:dyDescent="0.25">
      <c r="A137" s="120" t="s">
        <v>29</v>
      </c>
      <c r="B137" s="64">
        <f t="shared" si="1"/>
        <v>49507</v>
      </c>
      <c r="C137" s="55">
        <v>33249</v>
      </c>
      <c r="D137" s="55">
        <v>16258</v>
      </c>
      <c r="E137" s="55">
        <v>0</v>
      </c>
      <c r="F137" s="55">
        <v>0</v>
      </c>
      <c r="G137" s="55">
        <v>0</v>
      </c>
      <c r="H137" s="57">
        <v>0</v>
      </c>
      <c r="I137" s="57">
        <v>0</v>
      </c>
      <c r="K137" s="21"/>
    </row>
    <row r="138" spans="1:11" ht="30" x14ac:dyDescent="0.25">
      <c r="A138" s="120" t="s">
        <v>30</v>
      </c>
      <c r="B138" s="64">
        <f t="shared" si="1"/>
        <v>75848</v>
      </c>
      <c r="C138" s="55">
        <v>48358</v>
      </c>
      <c r="D138" s="55">
        <f>14810+1003+970</f>
        <v>16783</v>
      </c>
      <c r="E138" s="55">
        <v>0</v>
      </c>
      <c r="F138" s="55">
        <v>0</v>
      </c>
      <c r="G138" s="55">
        <f>11480-1003+230</f>
        <v>10707</v>
      </c>
      <c r="H138" s="57">
        <v>0</v>
      </c>
      <c r="I138" s="57">
        <v>0</v>
      </c>
      <c r="J138" s="54"/>
      <c r="K138" s="21"/>
    </row>
    <row r="139" spans="1:11" x14ac:dyDescent="0.25">
      <c r="A139" s="120" t="s">
        <v>31</v>
      </c>
      <c r="B139" s="64">
        <f t="shared" si="1"/>
        <v>1485118</v>
      </c>
      <c r="C139" s="55">
        <f>762618-5000+10580</f>
        <v>768198</v>
      </c>
      <c r="D139" s="55">
        <f>697656-502+4400-10580</f>
        <v>690974</v>
      </c>
      <c r="E139" s="55">
        <v>0</v>
      </c>
      <c r="F139" s="55">
        <v>0</v>
      </c>
      <c r="G139" s="55">
        <f>24844+502+600</f>
        <v>25946</v>
      </c>
      <c r="H139" s="57">
        <v>0</v>
      </c>
      <c r="I139" s="57">
        <v>0</v>
      </c>
      <c r="K139" s="21"/>
    </row>
    <row r="140" spans="1:11" ht="29.25" customHeight="1" x14ac:dyDescent="0.25">
      <c r="A140" s="131" t="s">
        <v>32</v>
      </c>
      <c r="B140" s="64">
        <f t="shared" si="1"/>
        <v>276000</v>
      </c>
      <c r="C140" s="55">
        <f>183963+10580</f>
        <v>194543</v>
      </c>
      <c r="D140" s="55">
        <f>90537-10580</f>
        <v>79957</v>
      </c>
      <c r="E140" s="55">
        <v>0</v>
      </c>
      <c r="F140" s="55">
        <v>0</v>
      </c>
      <c r="G140" s="55">
        <v>1500</v>
      </c>
      <c r="H140" s="57">
        <v>0</v>
      </c>
      <c r="I140" s="57">
        <v>0</v>
      </c>
      <c r="K140" s="21"/>
    </row>
    <row r="141" spans="1:11" ht="44.25" customHeight="1" x14ac:dyDescent="0.25">
      <c r="A141" s="120" t="s">
        <v>217</v>
      </c>
      <c r="B141" s="64">
        <f t="shared" si="1"/>
        <v>55514</v>
      </c>
      <c r="C141" s="55">
        <v>0</v>
      </c>
      <c r="D141" s="55">
        <v>0</v>
      </c>
      <c r="E141" s="55">
        <v>0</v>
      </c>
      <c r="F141" s="55">
        <v>0</v>
      </c>
      <c r="G141" s="55">
        <v>55514</v>
      </c>
      <c r="H141" s="57">
        <v>0</v>
      </c>
      <c r="I141" s="57">
        <v>0</v>
      </c>
      <c r="K141" s="21"/>
    </row>
    <row r="142" spans="1:11" ht="75" x14ac:dyDescent="0.25">
      <c r="A142" s="120" t="s">
        <v>214</v>
      </c>
      <c r="B142" s="64">
        <f t="shared" si="1"/>
        <v>46467</v>
      </c>
      <c r="C142" s="55">
        <v>2151</v>
      </c>
      <c r="D142" s="55">
        <v>4200</v>
      </c>
      <c r="E142" s="55">
        <v>0</v>
      </c>
      <c r="F142" s="55">
        <v>0</v>
      </c>
      <c r="G142" s="55">
        <v>40116</v>
      </c>
      <c r="H142" s="57">
        <v>0</v>
      </c>
      <c r="I142" s="57">
        <v>0</v>
      </c>
      <c r="K142" s="21"/>
    </row>
    <row r="143" spans="1:11" x14ac:dyDescent="0.25">
      <c r="A143" s="119" t="s">
        <v>358</v>
      </c>
      <c r="B143" s="64">
        <f t="shared" si="1"/>
        <v>2375</v>
      </c>
      <c r="C143" s="55">
        <v>2338</v>
      </c>
      <c r="D143" s="55">
        <v>37</v>
      </c>
      <c r="E143" s="55">
        <v>0</v>
      </c>
      <c r="F143" s="55">
        <v>0</v>
      </c>
      <c r="G143" s="55">
        <v>0</v>
      </c>
      <c r="H143" s="57">
        <v>0</v>
      </c>
      <c r="I143" s="57">
        <v>0</v>
      </c>
      <c r="K143" s="21"/>
    </row>
    <row r="144" spans="1:11" ht="21.75" customHeight="1" x14ac:dyDescent="0.25">
      <c r="A144" s="119" t="s">
        <v>345</v>
      </c>
      <c r="B144" s="64">
        <f t="shared" si="1"/>
        <v>10594</v>
      </c>
      <c r="C144" s="55">
        <v>0</v>
      </c>
      <c r="D144" s="55">
        <v>10594</v>
      </c>
      <c r="E144" s="55">
        <v>0</v>
      </c>
      <c r="F144" s="55">
        <v>0</v>
      </c>
      <c r="G144" s="55">
        <v>0</v>
      </c>
      <c r="H144" s="57">
        <v>0</v>
      </c>
      <c r="I144" s="57">
        <v>0</v>
      </c>
      <c r="J144" s="54"/>
      <c r="K144" s="21"/>
    </row>
    <row r="145" spans="1:11" ht="26.25" customHeight="1" x14ac:dyDescent="0.25">
      <c r="A145" s="119" t="s">
        <v>357</v>
      </c>
      <c r="B145" s="64">
        <f t="shared" si="1"/>
        <v>3550</v>
      </c>
      <c r="C145" s="55">
        <v>0</v>
      </c>
      <c r="D145" s="55">
        <v>3550</v>
      </c>
      <c r="E145" s="55">
        <v>0</v>
      </c>
      <c r="F145" s="55">
        <v>0</v>
      </c>
      <c r="G145" s="55">
        <v>0</v>
      </c>
      <c r="H145" s="57">
        <v>0</v>
      </c>
      <c r="I145" s="57">
        <v>0</v>
      </c>
      <c r="K145" s="21"/>
    </row>
    <row r="146" spans="1:11" ht="15" customHeight="1" x14ac:dyDescent="0.25">
      <c r="A146" s="124" t="s">
        <v>276</v>
      </c>
      <c r="B146" s="64">
        <f t="shared" si="1"/>
        <v>1414</v>
      </c>
      <c r="C146" s="55">
        <v>0</v>
      </c>
      <c r="D146" s="55">
        <f>1029+385</f>
        <v>1414</v>
      </c>
      <c r="E146" s="55">
        <v>0</v>
      </c>
      <c r="F146" s="55">
        <v>0</v>
      </c>
      <c r="G146" s="55">
        <v>0</v>
      </c>
      <c r="H146" s="57">
        <v>0</v>
      </c>
      <c r="I146" s="57">
        <v>0</v>
      </c>
      <c r="K146" s="21"/>
    </row>
    <row r="147" spans="1:11" ht="27" customHeight="1" x14ac:dyDescent="0.25">
      <c r="A147" s="124" t="s">
        <v>275</v>
      </c>
      <c r="B147" s="64">
        <f t="shared" si="1"/>
        <v>415</v>
      </c>
      <c r="C147" s="55">
        <v>0</v>
      </c>
      <c r="D147" s="55">
        <f>800-385</f>
        <v>415</v>
      </c>
      <c r="E147" s="55">
        <v>0</v>
      </c>
      <c r="F147" s="55">
        <v>0</v>
      </c>
      <c r="G147" s="55">
        <v>0</v>
      </c>
      <c r="H147" s="57">
        <v>0</v>
      </c>
      <c r="I147" s="57">
        <v>0</v>
      </c>
      <c r="K147" s="21"/>
    </row>
    <row r="148" spans="1:11" ht="15" customHeight="1" x14ac:dyDescent="0.25">
      <c r="A148" s="124" t="s">
        <v>274</v>
      </c>
      <c r="B148" s="64">
        <f t="shared" si="1"/>
        <v>7309</v>
      </c>
      <c r="C148" s="55">
        <v>4161</v>
      </c>
      <c r="D148" s="55">
        <v>3148</v>
      </c>
      <c r="E148" s="55">
        <v>0</v>
      </c>
      <c r="F148" s="55">
        <v>0</v>
      </c>
      <c r="G148" s="55">
        <v>0</v>
      </c>
      <c r="H148" s="57">
        <v>0</v>
      </c>
      <c r="I148" s="57">
        <v>0</v>
      </c>
      <c r="K148" s="21"/>
    </row>
    <row r="149" spans="1:11" ht="32.25" customHeight="1" x14ac:dyDescent="0.25">
      <c r="A149" s="124" t="s">
        <v>273</v>
      </c>
      <c r="B149" s="64">
        <f t="shared" si="1"/>
        <v>305247</v>
      </c>
      <c r="C149" s="55">
        <v>149442</v>
      </c>
      <c r="D149" s="55">
        <f>96433-7183</f>
        <v>89250</v>
      </c>
      <c r="E149" s="55">
        <v>0</v>
      </c>
      <c r="F149" s="55">
        <v>0</v>
      </c>
      <c r="G149" s="55">
        <v>66555</v>
      </c>
      <c r="H149" s="57">
        <v>0</v>
      </c>
      <c r="I149" s="57">
        <v>0</v>
      </c>
    </row>
    <row r="150" spans="1:11" ht="39" customHeight="1" x14ac:dyDescent="0.25">
      <c r="A150" s="124" t="s">
        <v>272</v>
      </c>
      <c r="B150" s="64">
        <f t="shared" ref="B150:B213" si="2">SUM(C150:I150)</f>
        <v>2066</v>
      </c>
      <c r="C150" s="55">
        <v>0</v>
      </c>
      <c r="D150" s="55">
        <v>2066</v>
      </c>
      <c r="E150" s="55">
        <v>0</v>
      </c>
      <c r="F150" s="55">
        <v>0</v>
      </c>
      <c r="G150" s="55">
        <v>0</v>
      </c>
      <c r="H150" s="57">
        <v>0</v>
      </c>
      <c r="I150" s="57">
        <v>0</v>
      </c>
    </row>
    <row r="151" spans="1:11" ht="40.5" customHeight="1" x14ac:dyDescent="0.25">
      <c r="A151" s="124" t="s">
        <v>271</v>
      </c>
      <c r="B151" s="64">
        <f t="shared" si="2"/>
        <v>50747</v>
      </c>
      <c r="C151" s="55">
        <v>23315</v>
      </c>
      <c r="D151" s="55">
        <v>27432</v>
      </c>
      <c r="E151" s="55">
        <v>0</v>
      </c>
      <c r="F151" s="55">
        <v>0</v>
      </c>
      <c r="G151" s="55">
        <v>0</v>
      </c>
      <c r="H151" s="57">
        <v>0</v>
      </c>
      <c r="I151" s="57">
        <v>0</v>
      </c>
    </row>
    <row r="152" spans="1:11" ht="15" customHeight="1" x14ac:dyDescent="0.25">
      <c r="A152" s="124" t="s">
        <v>270</v>
      </c>
      <c r="B152" s="64">
        <f t="shared" si="2"/>
        <v>1411</v>
      </c>
      <c r="C152" s="55">
        <v>0</v>
      </c>
      <c r="D152" s="55">
        <v>1411</v>
      </c>
      <c r="E152" s="55">
        <v>0</v>
      </c>
      <c r="F152" s="55">
        <v>0</v>
      </c>
      <c r="G152" s="55">
        <v>0</v>
      </c>
      <c r="H152" s="57">
        <v>0</v>
      </c>
      <c r="I152" s="57">
        <v>0</v>
      </c>
    </row>
    <row r="153" spans="1:11" ht="30" customHeight="1" x14ac:dyDescent="0.25">
      <c r="A153" s="124" t="s">
        <v>269</v>
      </c>
      <c r="B153" s="64">
        <f t="shared" si="2"/>
        <v>2402</v>
      </c>
      <c r="C153" s="55">
        <v>0</v>
      </c>
      <c r="D153" s="55">
        <v>2402</v>
      </c>
      <c r="E153" s="55">
        <v>0</v>
      </c>
      <c r="F153" s="55">
        <v>0</v>
      </c>
      <c r="G153" s="55">
        <v>0</v>
      </c>
      <c r="H153" s="57">
        <v>0</v>
      </c>
      <c r="I153" s="57">
        <v>0</v>
      </c>
    </row>
    <row r="154" spans="1:11" ht="27" customHeight="1" x14ac:dyDescent="0.25">
      <c r="A154" s="124" t="s">
        <v>268</v>
      </c>
      <c r="B154" s="64">
        <f t="shared" si="2"/>
        <v>2155</v>
      </c>
      <c r="C154" s="55">
        <v>0</v>
      </c>
      <c r="D154" s="55">
        <v>2155</v>
      </c>
      <c r="E154" s="55">
        <v>0</v>
      </c>
      <c r="F154" s="55">
        <v>0</v>
      </c>
      <c r="G154" s="55">
        <v>0</v>
      </c>
      <c r="H154" s="57">
        <v>0</v>
      </c>
      <c r="I154" s="57">
        <v>0</v>
      </c>
    </row>
    <row r="155" spans="1:11" ht="31.5" customHeight="1" x14ac:dyDescent="0.25">
      <c r="A155" s="124" t="s">
        <v>267</v>
      </c>
      <c r="B155" s="64">
        <f t="shared" si="2"/>
        <v>800</v>
      </c>
      <c r="C155" s="55">
        <v>0</v>
      </c>
      <c r="D155" s="55">
        <v>800</v>
      </c>
      <c r="E155" s="55">
        <v>0</v>
      </c>
      <c r="F155" s="55">
        <v>0</v>
      </c>
      <c r="G155" s="55">
        <v>0</v>
      </c>
      <c r="H155" s="57">
        <v>0</v>
      </c>
      <c r="I155" s="57">
        <v>0</v>
      </c>
    </row>
    <row r="156" spans="1:11" ht="30" customHeight="1" x14ac:dyDescent="0.25">
      <c r="A156" s="124" t="s">
        <v>266</v>
      </c>
      <c r="B156" s="64">
        <f t="shared" si="2"/>
        <v>2520</v>
      </c>
      <c r="C156" s="55">
        <v>0</v>
      </c>
      <c r="D156" s="55">
        <v>2520</v>
      </c>
      <c r="E156" s="55">
        <v>0</v>
      </c>
      <c r="F156" s="55">
        <v>0</v>
      </c>
      <c r="G156" s="55">
        <v>0</v>
      </c>
      <c r="H156" s="57">
        <v>0</v>
      </c>
      <c r="I156" s="57">
        <v>0</v>
      </c>
    </row>
    <row r="157" spans="1:11" ht="28.5" customHeight="1" x14ac:dyDescent="0.25">
      <c r="A157" s="124" t="s">
        <v>265</v>
      </c>
      <c r="B157" s="64">
        <f t="shared" si="2"/>
        <v>2181</v>
      </c>
      <c r="C157" s="58">
        <v>0</v>
      </c>
      <c r="D157" s="58">
        <v>2181</v>
      </c>
      <c r="E157" s="55">
        <v>0</v>
      </c>
      <c r="F157" s="55">
        <v>0</v>
      </c>
      <c r="G157" s="58">
        <v>0</v>
      </c>
      <c r="H157" s="57">
        <v>0</v>
      </c>
      <c r="I157" s="57">
        <v>0</v>
      </c>
    </row>
    <row r="158" spans="1:11" ht="33.75" customHeight="1" x14ac:dyDescent="0.25">
      <c r="A158" s="124" t="s">
        <v>264</v>
      </c>
      <c r="B158" s="64">
        <f t="shared" si="2"/>
        <v>2927</v>
      </c>
      <c r="C158" s="55">
        <v>0</v>
      </c>
      <c r="D158" s="55">
        <v>2927</v>
      </c>
      <c r="E158" s="55">
        <v>0</v>
      </c>
      <c r="F158" s="55">
        <v>0</v>
      </c>
      <c r="G158" s="55">
        <v>0</v>
      </c>
      <c r="H158" s="57">
        <v>0</v>
      </c>
      <c r="I158" s="57">
        <v>0</v>
      </c>
    </row>
    <row r="159" spans="1:11" ht="36" customHeight="1" x14ac:dyDescent="0.25">
      <c r="A159" s="124" t="s">
        <v>263</v>
      </c>
      <c r="B159" s="64">
        <f t="shared" si="2"/>
        <v>20582</v>
      </c>
      <c r="C159" s="55">
        <v>16959</v>
      </c>
      <c r="D159" s="55">
        <v>3623</v>
      </c>
      <c r="E159" s="55">
        <v>0</v>
      </c>
      <c r="F159" s="55">
        <v>0</v>
      </c>
      <c r="G159" s="55">
        <v>0</v>
      </c>
      <c r="H159" s="57">
        <v>0</v>
      </c>
      <c r="I159" s="57">
        <v>0</v>
      </c>
    </row>
    <row r="160" spans="1:11" ht="32.25" customHeight="1" x14ac:dyDescent="0.25">
      <c r="A160" s="124" t="s">
        <v>262</v>
      </c>
      <c r="B160" s="64">
        <f t="shared" si="2"/>
        <v>2916</v>
      </c>
      <c r="C160" s="55">
        <v>0</v>
      </c>
      <c r="D160" s="55">
        <f>3950-1034</f>
        <v>2916</v>
      </c>
      <c r="E160" s="55">
        <v>0</v>
      </c>
      <c r="F160" s="55">
        <v>0</v>
      </c>
      <c r="G160" s="55">
        <v>0</v>
      </c>
      <c r="H160" s="57">
        <v>0</v>
      </c>
      <c r="I160" s="57">
        <v>0</v>
      </c>
    </row>
    <row r="161" spans="1:11" ht="29.25" customHeight="1" x14ac:dyDescent="0.25">
      <c r="A161" s="124" t="s">
        <v>261</v>
      </c>
      <c r="B161" s="64">
        <f t="shared" si="2"/>
        <v>82797</v>
      </c>
      <c r="C161" s="55">
        <f>10823-235</f>
        <v>10588</v>
      </c>
      <c r="D161" s="55">
        <f>1974+235</f>
        <v>2209</v>
      </c>
      <c r="E161" s="55">
        <v>0</v>
      </c>
      <c r="F161" s="55">
        <v>0</v>
      </c>
      <c r="G161" s="55">
        <v>70000</v>
      </c>
      <c r="H161" s="57">
        <v>0</v>
      </c>
      <c r="I161" s="57">
        <v>0</v>
      </c>
    </row>
    <row r="162" spans="1:11" ht="37.5" customHeight="1" x14ac:dyDescent="0.25">
      <c r="A162" s="124" t="s">
        <v>260</v>
      </c>
      <c r="B162" s="64">
        <f t="shared" si="2"/>
        <v>31277</v>
      </c>
      <c r="C162" s="55">
        <f>22620-2748</f>
        <v>19872</v>
      </c>
      <c r="D162" s="55">
        <f>4880+2097+2748+1680</f>
        <v>11405</v>
      </c>
      <c r="E162" s="55">
        <v>0</v>
      </c>
      <c r="F162" s="55">
        <v>0</v>
      </c>
      <c r="G162" s="55">
        <v>0</v>
      </c>
      <c r="H162" s="57">
        <v>0</v>
      </c>
      <c r="I162" s="57">
        <v>0</v>
      </c>
    </row>
    <row r="163" spans="1:11" ht="30" customHeight="1" x14ac:dyDescent="0.25">
      <c r="A163" s="124" t="s">
        <v>259</v>
      </c>
      <c r="B163" s="64">
        <f t="shared" si="2"/>
        <v>4824</v>
      </c>
      <c r="C163" s="58">
        <v>0</v>
      </c>
      <c r="D163" s="58">
        <v>4824</v>
      </c>
      <c r="E163" s="55">
        <v>0</v>
      </c>
      <c r="F163" s="55">
        <v>0</v>
      </c>
      <c r="G163" s="58">
        <v>0</v>
      </c>
      <c r="H163" s="57">
        <v>0</v>
      </c>
      <c r="I163" s="57">
        <v>0</v>
      </c>
    </row>
    <row r="164" spans="1:11" ht="30" customHeight="1" x14ac:dyDescent="0.25">
      <c r="A164" s="124" t="s">
        <v>258</v>
      </c>
      <c r="B164" s="64">
        <f t="shared" si="2"/>
        <v>75258</v>
      </c>
      <c r="C164" s="55">
        <v>26772</v>
      </c>
      <c r="D164" s="55">
        <v>48486</v>
      </c>
      <c r="E164" s="55">
        <v>0</v>
      </c>
      <c r="F164" s="55">
        <v>0</v>
      </c>
      <c r="G164" s="55">
        <v>0</v>
      </c>
      <c r="H164" s="57">
        <v>0</v>
      </c>
      <c r="I164" s="57">
        <v>0</v>
      </c>
    </row>
    <row r="165" spans="1:11" ht="32.25" customHeight="1" x14ac:dyDescent="0.25">
      <c r="A165" s="124" t="s">
        <v>257</v>
      </c>
      <c r="B165" s="64">
        <f t="shared" si="2"/>
        <v>2758</v>
      </c>
      <c r="C165" s="55">
        <v>0</v>
      </c>
      <c r="D165" s="55">
        <v>1738</v>
      </c>
      <c r="E165" s="55">
        <v>0</v>
      </c>
      <c r="F165" s="55">
        <v>0</v>
      </c>
      <c r="G165" s="55">
        <v>1020</v>
      </c>
      <c r="H165" s="57">
        <v>0</v>
      </c>
      <c r="I165" s="57">
        <v>0</v>
      </c>
    </row>
    <row r="166" spans="1:11" ht="32.25" customHeight="1" x14ac:dyDescent="0.25">
      <c r="A166" s="124" t="s">
        <v>256</v>
      </c>
      <c r="B166" s="64">
        <f t="shared" si="2"/>
        <v>2255</v>
      </c>
      <c r="C166" s="58">
        <v>0</v>
      </c>
      <c r="D166" s="58">
        <v>2255</v>
      </c>
      <c r="E166" s="55">
        <v>0</v>
      </c>
      <c r="F166" s="55">
        <v>0</v>
      </c>
      <c r="G166" s="58">
        <v>0</v>
      </c>
      <c r="H166" s="57">
        <v>0</v>
      </c>
      <c r="I166" s="57">
        <v>0</v>
      </c>
    </row>
    <row r="167" spans="1:11" ht="30" customHeight="1" x14ac:dyDescent="0.25">
      <c r="A167" s="124" t="s">
        <v>255</v>
      </c>
      <c r="B167" s="64">
        <f t="shared" si="2"/>
        <v>2967</v>
      </c>
      <c r="C167" s="55">
        <v>0</v>
      </c>
      <c r="D167" s="55">
        <v>2967</v>
      </c>
      <c r="E167" s="55">
        <v>0</v>
      </c>
      <c r="F167" s="55">
        <v>0</v>
      </c>
      <c r="G167" s="55">
        <v>0</v>
      </c>
      <c r="H167" s="57">
        <v>0</v>
      </c>
      <c r="I167" s="57">
        <v>0</v>
      </c>
    </row>
    <row r="168" spans="1:11" ht="30" customHeight="1" x14ac:dyDescent="0.25">
      <c r="A168" s="124" t="s">
        <v>254</v>
      </c>
      <c r="B168" s="64">
        <f t="shared" si="2"/>
        <v>32656</v>
      </c>
      <c r="C168" s="55">
        <v>26449</v>
      </c>
      <c r="D168" s="55">
        <v>6207</v>
      </c>
      <c r="E168" s="55">
        <v>0</v>
      </c>
      <c r="F168" s="55">
        <v>0</v>
      </c>
      <c r="G168" s="55">
        <v>0</v>
      </c>
      <c r="H168" s="57">
        <v>0</v>
      </c>
      <c r="I168" s="57">
        <v>0</v>
      </c>
    </row>
    <row r="169" spans="1:11" ht="33" customHeight="1" x14ac:dyDescent="0.25">
      <c r="A169" s="124" t="s">
        <v>253</v>
      </c>
      <c r="B169" s="64">
        <f t="shared" si="2"/>
        <v>6014</v>
      </c>
      <c r="C169" s="58"/>
      <c r="D169" s="58">
        <v>1668</v>
      </c>
      <c r="E169" s="55">
        <v>0</v>
      </c>
      <c r="F169" s="55">
        <v>0</v>
      </c>
      <c r="G169" s="58">
        <v>4346</v>
      </c>
      <c r="H169" s="57">
        <v>0</v>
      </c>
      <c r="I169" s="57">
        <v>0</v>
      </c>
    </row>
    <row r="170" spans="1:11" ht="42" customHeight="1" x14ac:dyDescent="0.25">
      <c r="A170" s="124" t="s">
        <v>252</v>
      </c>
      <c r="B170" s="64">
        <f t="shared" si="2"/>
        <v>18493</v>
      </c>
      <c r="C170" s="55">
        <v>13993</v>
      </c>
      <c r="D170" s="55">
        <v>4500</v>
      </c>
      <c r="E170" s="55">
        <v>0</v>
      </c>
      <c r="F170" s="55">
        <v>0</v>
      </c>
      <c r="G170" s="55">
        <v>0</v>
      </c>
      <c r="H170" s="57">
        <v>0</v>
      </c>
      <c r="I170" s="57">
        <v>0</v>
      </c>
      <c r="J170" s="54"/>
      <c r="K170" s="21"/>
    </row>
    <row r="171" spans="1:11" ht="32.25" customHeight="1" x14ac:dyDescent="0.25">
      <c r="A171" s="124" t="s">
        <v>251</v>
      </c>
      <c r="B171" s="64">
        <f t="shared" si="2"/>
        <v>4800</v>
      </c>
      <c r="C171" s="55"/>
      <c r="D171" s="55">
        <v>4800</v>
      </c>
      <c r="E171" s="55">
        <v>0</v>
      </c>
      <c r="F171" s="55">
        <v>0</v>
      </c>
      <c r="G171" s="55">
        <v>0</v>
      </c>
      <c r="H171" s="57">
        <v>0</v>
      </c>
      <c r="I171" s="57">
        <v>0</v>
      </c>
      <c r="K171" s="21"/>
    </row>
    <row r="172" spans="1:11" ht="34.5" customHeight="1" x14ac:dyDescent="0.25">
      <c r="A172" s="124" t="s">
        <v>250</v>
      </c>
      <c r="B172" s="64">
        <f t="shared" si="2"/>
        <v>15524</v>
      </c>
      <c r="C172" s="55">
        <v>13003</v>
      </c>
      <c r="D172" s="55">
        <v>2521</v>
      </c>
      <c r="E172" s="55">
        <v>0</v>
      </c>
      <c r="F172" s="55">
        <v>0</v>
      </c>
      <c r="G172" s="55">
        <v>0</v>
      </c>
      <c r="H172" s="57">
        <v>0</v>
      </c>
      <c r="I172" s="57">
        <v>0</v>
      </c>
      <c r="J172" s="54"/>
      <c r="K172" s="21"/>
    </row>
    <row r="173" spans="1:11" ht="28.5" customHeight="1" x14ac:dyDescent="0.25">
      <c r="A173" s="124" t="s">
        <v>249</v>
      </c>
      <c r="B173" s="64">
        <f t="shared" si="2"/>
        <v>61596</v>
      </c>
      <c r="C173" s="55">
        <f>26943+860</f>
        <v>27803</v>
      </c>
      <c r="D173" s="55">
        <f>33453-860</f>
        <v>32593</v>
      </c>
      <c r="E173" s="55">
        <v>0</v>
      </c>
      <c r="F173" s="55">
        <v>0</v>
      </c>
      <c r="G173" s="55">
        <v>1200</v>
      </c>
      <c r="H173" s="57">
        <v>0</v>
      </c>
      <c r="I173" s="57">
        <v>0</v>
      </c>
      <c r="J173" s="54"/>
      <c r="K173" s="21"/>
    </row>
    <row r="174" spans="1:11" ht="24" customHeight="1" x14ac:dyDescent="0.25">
      <c r="A174" s="124" t="s">
        <v>344</v>
      </c>
      <c r="B174" s="64">
        <f t="shared" si="2"/>
        <v>3591</v>
      </c>
      <c r="C174" s="55">
        <f>4145-4145</f>
        <v>0</v>
      </c>
      <c r="D174" s="55">
        <v>3591</v>
      </c>
      <c r="E174" s="55">
        <v>0</v>
      </c>
      <c r="F174" s="55">
        <v>0</v>
      </c>
      <c r="G174" s="55">
        <v>0</v>
      </c>
      <c r="H174" s="57">
        <v>0</v>
      </c>
      <c r="I174" s="57">
        <v>0</v>
      </c>
      <c r="J174" s="54"/>
      <c r="K174" s="21"/>
    </row>
    <row r="175" spans="1:11" ht="37.5" customHeight="1" x14ac:dyDescent="0.25">
      <c r="A175" s="124" t="s">
        <v>277</v>
      </c>
      <c r="B175" s="64">
        <f t="shared" si="2"/>
        <v>29098</v>
      </c>
      <c r="C175" s="58"/>
      <c r="D175" s="58">
        <v>21098</v>
      </c>
      <c r="E175" s="55">
        <v>0</v>
      </c>
      <c r="F175" s="55">
        <v>0</v>
      </c>
      <c r="G175" s="58">
        <v>8000</v>
      </c>
      <c r="H175" s="57">
        <v>0</v>
      </c>
      <c r="I175" s="57">
        <v>0</v>
      </c>
      <c r="J175" s="54"/>
      <c r="K175" s="21"/>
    </row>
    <row r="176" spans="1:11" ht="28.5" customHeight="1" x14ac:dyDescent="0.25">
      <c r="A176" s="124" t="s">
        <v>248</v>
      </c>
      <c r="B176" s="64">
        <f t="shared" si="2"/>
        <v>45165</v>
      </c>
      <c r="C176" s="55">
        <v>33954</v>
      </c>
      <c r="D176" s="55">
        <v>11211</v>
      </c>
      <c r="E176" s="55">
        <v>0</v>
      </c>
      <c r="F176" s="55">
        <v>0</v>
      </c>
      <c r="G176" s="55">
        <v>0</v>
      </c>
      <c r="H176" s="57">
        <v>0</v>
      </c>
      <c r="I176" s="57">
        <v>0</v>
      </c>
      <c r="J176" s="54"/>
      <c r="K176" s="21"/>
    </row>
    <row r="177" spans="1:11" ht="32.25" customHeight="1" x14ac:dyDescent="0.25">
      <c r="A177" s="124" t="s">
        <v>247</v>
      </c>
      <c r="B177" s="64">
        <f t="shared" si="2"/>
        <v>86391</v>
      </c>
      <c r="C177" s="55">
        <v>27935</v>
      </c>
      <c r="D177" s="55">
        <v>27577</v>
      </c>
      <c r="E177" s="55">
        <v>0</v>
      </c>
      <c r="F177" s="55">
        <v>0</v>
      </c>
      <c r="G177" s="55">
        <v>30879</v>
      </c>
      <c r="H177" s="57">
        <v>0</v>
      </c>
      <c r="I177" s="57">
        <v>0</v>
      </c>
      <c r="K177" s="21"/>
    </row>
    <row r="178" spans="1:11" ht="31.5" customHeight="1" x14ac:dyDescent="0.25">
      <c r="A178" s="124" t="s">
        <v>246</v>
      </c>
      <c r="B178" s="64">
        <f t="shared" si="2"/>
        <v>3957</v>
      </c>
      <c r="C178" s="55"/>
      <c r="D178" s="55">
        <v>3957</v>
      </c>
      <c r="E178" s="55">
        <v>0</v>
      </c>
      <c r="F178" s="55">
        <v>0</v>
      </c>
      <c r="G178" s="55">
        <v>0</v>
      </c>
      <c r="H178" s="57">
        <v>0</v>
      </c>
      <c r="I178" s="57">
        <v>0</v>
      </c>
    </row>
    <row r="179" spans="1:11" ht="31.5" customHeight="1" x14ac:dyDescent="0.25">
      <c r="A179" s="124" t="s">
        <v>245</v>
      </c>
      <c r="B179" s="64">
        <f t="shared" si="2"/>
        <v>12568</v>
      </c>
      <c r="C179" s="55">
        <v>9470</v>
      </c>
      <c r="D179" s="55">
        <v>3098</v>
      </c>
      <c r="E179" s="55">
        <v>0</v>
      </c>
      <c r="F179" s="55">
        <v>0</v>
      </c>
      <c r="G179" s="55">
        <v>0</v>
      </c>
      <c r="H179" s="57">
        <v>0</v>
      </c>
      <c r="I179" s="57">
        <v>0</v>
      </c>
    </row>
    <row r="180" spans="1:11" ht="37.5" customHeight="1" x14ac:dyDescent="0.25">
      <c r="A180" s="124" t="s">
        <v>244</v>
      </c>
      <c r="B180" s="64">
        <f t="shared" si="2"/>
        <v>6365</v>
      </c>
      <c r="C180" s="55">
        <v>3708</v>
      </c>
      <c r="D180" s="55">
        <v>2657</v>
      </c>
      <c r="E180" s="55">
        <v>0</v>
      </c>
      <c r="F180" s="55">
        <v>0</v>
      </c>
      <c r="G180" s="55">
        <v>0</v>
      </c>
      <c r="H180" s="57">
        <v>0</v>
      </c>
      <c r="I180" s="57">
        <v>0</v>
      </c>
    </row>
    <row r="181" spans="1:11" ht="40.5" customHeight="1" x14ac:dyDescent="0.25">
      <c r="A181" s="126" t="s">
        <v>348</v>
      </c>
      <c r="B181" s="64">
        <f t="shared" si="2"/>
        <v>135503</v>
      </c>
      <c r="C181" s="68">
        <f>52375</f>
        <v>52375</v>
      </c>
      <c r="D181" s="68">
        <f>28878</f>
        <v>28878</v>
      </c>
      <c r="E181" s="55">
        <v>0</v>
      </c>
      <c r="F181" s="55">
        <v>0</v>
      </c>
      <c r="G181" s="68">
        <v>54250</v>
      </c>
      <c r="H181" s="57">
        <v>0</v>
      </c>
      <c r="I181" s="57">
        <v>0</v>
      </c>
    </row>
    <row r="182" spans="1:11" ht="33.75" customHeight="1" x14ac:dyDescent="0.25">
      <c r="A182" s="126" t="s">
        <v>349</v>
      </c>
      <c r="B182" s="64">
        <f t="shared" si="2"/>
        <v>174254</v>
      </c>
      <c r="C182" s="68">
        <f>115868+3776</f>
        <v>119644</v>
      </c>
      <c r="D182" s="68">
        <v>53610</v>
      </c>
      <c r="E182" s="55">
        <v>0</v>
      </c>
      <c r="F182" s="55">
        <v>0</v>
      </c>
      <c r="G182" s="68">
        <v>1000</v>
      </c>
      <c r="H182" s="57">
        <v>0</v>
      </c>
      <c r="I182" s="57">
        <v>0</v>
      </c>
    </row>
    <row r="183" spans="1:11" ht="35.25" customHeight="1" x14ac:dyDescent="0.25">
      <c r="A183" s="132" t="s">
        <v>350</v>
      </c>
      <c r="B183" s="64">
        <f t="shared" si="2"/>
        <v>6245</v>
      </c>
      <c r="C183" s="67">
        <v>0</v>
      </c>
      <c r="D183" s="85">
        <v>6245</v>
      </c>
      <c r="E183" s="55">
        <v>0</v>
      </c>
      <c r="F183" s="55">
        <v>0</v>
      </c>
      <c r="G183" s="67">
        <v>0</v>
      </c>
      <c r="H183" s="57">
        <v>0</v>
      </c>
      <c r="I183" s="57">
        <v>0</v>
      </c>
    </row>
    <row r="184" spans="1:11" ht="30" customHeight="1" x14ac:dyDescent="0.25">
      <c r="A184" s="132" t="s">
        <v>351</v>
      </c>
      <c r="B184" s="64">
        <f t="shared" si="2"/>
        <v>5969</v>
      </c>
      <c r="C184" s="67">
        <v>0</v>
      </c>
      <c r="D184" s="85">
        <f>5840+129</f>
        <v>5969</v>
      </c>
      <c r="E184" s="55">
        <v>0</v>
      </c>
      <c r="F184" s="55">
        <v>0</v>
      </c>
      <c r="G184" s="67">
        <v>0</v>
      </c>
      <c r="H184" s="57">
        <v>0</v>
      </c>
      <c r="I184" s="57">
        <v>0</v>
      </c>
    </row>
    <row r="185" spans="1:11" ht="27.75" customHeight="1" x14ac:dyDescent="0.25">
      <c r="A185" s="126" t="s">
        <v>346</v>
      </c>
      <c r="B185" s="64">
        <f t="shared" si="2"/>
        <v>53887</v>
      </c>
      <c r="C185" s="68">
        <f>25466-8000</f>
        <v>17466</v>
      </c>
      <c r="D185" s="68">
        <v>36421</v>
      </c>
      <c r="E185" s="55">
        <v>0</v>
      </c>
      <c r="F185" s="55">
        <v>0</v>
      </c>
      <c r="G185" s="68">
        <v>0</v>
      </c>
      <c r="H185" s="57">
        <v>0</v>
      </c>
      <c r="I185" s="57">
        <v>0</v>
      </c>
    </row>
    <row r="186" spans="1:11" ht="36" customHeight="1" x14ac:dyDescent="0.25">
      <c r="A186" s="126" t="s">
        <v>347</v>
      </c>
      <c r="B186" s="64">
        <f t="shared" si="2"/>
        <v>10000</v>
      </c>
      <c r="C186" s="67">
        <v>0</v>
      </c>
      <c r="D186" s="68">
        <v>10000</v>
      </c>
      <c r="E186" s="55">
        <v>0</v>
      </c>
      <c r="F186" s="55">
        <v>0</v>
      </c>
      <c r="G186" s="68">
        <v>0</v>
      </c>
      <c r="H186" s="57">
        <v>0</v>
      </c>
      <c r="I186" s="57">
        <v>0</v>
      </c>
    </row>
    <row r="187" spans="1:11" ht="32.25" customHeight="1" x14ac:dyDescent="0.25">
      <c r="A187" s="126" t="s">
        <v>353</v>
      </c>
      <c r="B187" s="64">
        <f t="shared" si="2"/>
        <v>4018</v>
      </c>
      <c r="C187" s="71">
        <v>0</v>
      </c>
      <c r="D187" s="68">
        <f>3700+318</f>
        <v>4018</v>
      </c>
      <c r="E187" s="55">
        <v>0</v>
      </c>
      <c r="F187" s="55">
        <v>0</v>
      </c>
      <c r="G187" s="71">
        <v>0</v>
      </c>
      <c r="H187" s="57">
        <v>0</v>
      </c>
      <c r="I187" s="57">
        <v>0</v>
      </c>
    </row>
    <row r="188" spans="1:11" ht="33" customHeight="1" x14ac:dyDescent="0.25">
      <c r="A188" s="126" t="s">
        <v>352</v>
      </c>
      <c r="B188" s="64">
        <f t="shared" si="2"/>
        <v>2437</v>
      </c>
      <c r="C188" s="86">
        <v>0</v>
      </c>
      <c r="D188" s="74">
        <f>1800+637</f>
        <v>2437</v>
      </c>
      <c r="E188" s="55">
        <v>0</v>
      </c>
      <c r="F188" s="55">
        <v>0</v>
      </c>
      <c r="G188" s="86">
        <v>0</v>
      </c>
      <c r="H188" s="57">
        <v>0</v>
      </c>
      <c r="I188" s="57">
        <v>0</v>
      </c>
    </row>
    <row r="189" spans="1:11" ht="25.5" customHeight="1" x14ac:dyDescent="0.25">
      <c r="A189" s="120" t="s">
        <v>364</v>
      </c>
      <c r="B189" s="64">
        <f t="shared" si="2"/>
        <v>17829</v>
      </c>
      <c r="C189" s="87">
        <v>0</v>
      </c>
      <c r="D189" s="77">
        <v>8359</v>
      </c>
      <c r="E189" s="55">
        <v>0</v>
      </c>
      <c r="F189" s="55">
        <v>0</v>
      </c>
      <c r="G189" s="76">
        <v>9470</v>
      </c>
      <c r="H189" s="57">
        <v>0</v>
      </c>
      <c r="I189" s="57">
        <v>0</v>
      </c>
    </row>
    <row r="190" spans="1:11" ht="36.75" customHeight="1" x14ac:dyDescent="0.25">
      <c r="A190" s="120" t="s">
        <v>33</v>
      </c>
      <c r="B190" s="64">
        <f t="shared" si="2"/>
        <v>12378</v>
      </c>
      <c r="C190" s="55">
        <v>10160</v>
      </c>
      <c r="D190" s="55">
        <v>2218</v>
      </c>
      <c r="E190" s="55">
        <v>0</v>
      </c>
      <c r="F190" s="55">
        <v>0</v>
      </c>
      <c r="G190" s="55">
        <v>0</v>
      </c>
      <c r="H190" s="57">
        <v>0</v>
      </c>
      <c r="I190" s="57">
        <v>0</v>
      </c>
    </row>
    <row r="191" spans="1:11" ht="37.5" customHeight="1" x14ac:dyDescent="0.25">
      <c r="A191" s="120" t="s">
        <v>34</v>
      </c>
      <c r="B191" s="64">
        <f t="shared" si="2"/>
        <v>11700</v>
      </c>
      <c r="C191" s="55">
        <v>10250</v>
      </c>
      <c r="D191" s="55">
        <v>1450</v>
      </c>
      <c r="E191" s="55">
        <v>0</v>
      </c>
      <c r="F191" s="55">
        <v>0</v>
      </c>
      <c r="G191" s="55">
        <v>0</v>
      </c>
      <c r="H191" s="57">
        <v>0</v>
      </c>
      <c r="I191" s="57">
        <v>0</v>
      </c>
    </row>
    <row r="192" spans="1:11" ht="36" customHeight="1" x14ac:dyDescent="0.25">
      <c r="A192" s="120" t="s">
        <v>35</v>
      </c>
      <c r="B192" s="64">
        <f t="shared" si="2"/>
        <v>11717</v>
      </c>
      <c r="C192" s="55">
        <v>10312</v>
      </c>
      <c r="D192" s="55">
        <v>1405</v>
      </c>
      <c r="E192" s="55">
        <v>0</v>
      </c>
      <c r="F192" s="55">
        <v>0</v>
      </c>
      <c r="G192" s="55">
        <v>0</v>
      </c>
      <c r="H192" s="57">
        <v>0</v>
      </c>
      <c r="I192" s="57">
        <v>0</v>
      </c>
    </row>
    <row r="193" spans="1:9" ht="29.25" customHeight="1" x14ac:dyDescent="0.25">
      <c r="A193" s="124" t="s">
        <v>278</v>
      </c>
      <c r="B193" s="64">
        <f t="shared" si="2"/>
        <v>9216</v>
      </c>
      <c r="C193" s="55">
        <v>6634</v>
      </c>
      <c r="D193" s="55">
        <v>2582</v>
      </c>
      <c r="E193" s="55">
        <v>0</v>
      </c>
      <c r="F193" s="55">
        <v>0</v>
      </c>
      <c r="G193" s="55">
        <v>0</v>
      </c>
      <c r="H193" s="57">
        <v>0</v>
      </c>
      <c r="I193" s="57">
        <v>0</v>
      </c>
    </row>
    <row r="194" spans="1:9" ht="31.5" customHeight="1" x14ac:dyDescent="0.25">
      <c r="A194" s="120" t="s">
        <v>36</v>
      </c>
      <c r="B194" s="64">
        <f t="shared" si="2"/>
        <v>11072</v>
      </c>
      <c r="C194" s="55">
        <v>10160</v>
      </c>
      <c r="D194" s="55">
        <v>912</v>
      </c>
      <c r="E194" s="55">
        <v>0</v>
      </c>
      <c r="F194" s="55">
        <v>0</v>
      </c>
      <c r="G194" s="55">
        <v>0</v>
      </c>
      <c r="H194" s="57">
        <v>0</v>
      </c>
      <c r="I194" s="57">
        <v>0</v>
      </c>
    </row>
    <row r="195" spans="1:9" ht="49.5" customHeight="1" x14ac:dyDescent="0.25">
      <c r="A195" s="126" t="s">
        <v>291</v>
      </c>
      <c r="B195" s="64">
        <f t="shared" si="2"/>
        <v>12932</v>
      </c>
      <c r="C195" s="68">
        <v>10751</v>
      </c>
      <c r="D195" s="68">
        <v>2181</v>
      </c>
      <c r="E195" s="67">
        <v>0</v>
      </c>
      <c r="F195" s="67">
        <v>0</v>
      </c>
      <c r="G195" s="67">
        <v>0</v>
      </c>
      <c r="H195" s="67">
        <v>0</v>
      </c>
      <c r="I195" s="67">
        <v>0</v>
      </c>
    </row>
    <row r="196" spans="1:9" ht="15" customHeight="1" x14ac:dyDescent="0.25">
      <c r="A196" s="124" t="s">
        <v>279</v>
      </c>
      <c r="B196" s="64">
        <f t="shared" si="2"/>
        <v>12458</v>
      </c>
      <c r="C196" s="55">
        <v>10029</v>
      </c>
      <c r="D196" s="55">
        <v>2429</v>
      </c>
      <c r="E196" s="55">
        <v>0</v>
      </c>
      <c r="F196" s="55">
        <v>0</v>
      </c>
      <c r="G196" s="55">
        <v>0</v>
      </c>
      <c r="H196" s="57">
        <v>0</v>
      </c>
      <c r="I196" s="57">
        <v>0</v>
      </c>
    </row>
    <row r="197" spans="1:9" ht="33" customHeight="1" x14ac:dyDescent="0.25">
      <c r="A197" s="120" t="s">
        <v>37</v>
      </c>
      <c r="B197" s="64">
        <f t="shared" si="2"/>
        <v>11842</v>
      </c>
      <c r="C197" s="55">
        <v>10160</v>
      </c>
      <c r="D197" s="55">
        <f>2176-494</f>
        <v>1682</v>
      </c>
      <c r="E197" s="55">
        <v>0</v>
      </c>
      <c r="F197" s="55">
        <v>0</v>
      </c>
      <c r="G197" s="55"/>
      <c r="H197" s="57">
        <v>0</v>
      </c>
      <c r="I197" s="57">
        <v>0</v>
      </c>
    </row>
    <row r="198" spans="1:9" ht="30.75" customHeight="1" x14ac:dyDescent="0.25">
      <c r="A198" s="120" t="s">
        <v>38</v>
      </c>
      <c r="B198" s="64">
        <f t="shared" si="2"/>
        <v>11772</v>
      </c>
      <c r="C198" s="55">
        <v>9056</v>
      </c>
      <c r="D198" s="55">
        <f>2047+669</f>
        <v>2716</v>
      </c>
      <c r="E198" s="55">
        <v>0</v>
      </c>
      <c r="F198" s="55">
        <v>0</v>
      </c>
      <c r="G198" s="55">
        <v>0</v>
      </c>
      <c r="H198" s="57">
        <v>0</v>
      </c>
      <c r="I198" s="57">
        <v>0</v>
      </c>
    </row>
    <row r="199" spans="1:9" ht="35.25" customHeight="1" x14ac:dyDescent="0.25">
      <c r="A199" s="126" t="s">
        <v>289</v>
      </c>
      <c r="B199" s="64">
        <f t="shared" si="2"/>
        <v>42007</v>
      </c>
      <c r="C199" s="68">
        <v>26116</v>
      </c>
      <c r="D199" s="68">
        <v>15891</v>
      </c>
      <c r="E199" s="67">
        <v>0</v>
      </c>
      <c r="F199" s="67">
        <v>0</v>
      </c>
      <c r="G199" s="67">
        <v>0</v>
      </c>
      <c r="H199" s="67">
        <v>0</v>
      </c>
      <c r="I199" s="67">
        <v>0</v>
      </c>
    </row>
    <row r="200" spans="1:9" ht="50.25" customHeight="1" x14ac:dyDescent="0.25">
      <c r="A200" s="123" t="s">
        <v>156</v>
      </c>
      <c r="B200" s="64">
        <f t="shared" si="2"/>
        <v>33300</v>
      </c>
      <c r="C200" s="55">
        <v>0</v>
      </c>
      <c r="D200" s="55">
        <v>33300</v>
      </c>
      <c r="E200" s="55">
        <v>0</v>
      </c>
      <c r="F200" s="72">
        <v>0</v>
      </c>
      <c r="G200" s="55">
        <v>0</v>
      </c>
      <c r="H200" s="55">
        <v>0</v>
      </c>
      <c r="I200" s="55">
        <v>0</v>
      </c>
    </row>
    <row r="201" spans="1:9" ht="72" customHeight="1" x14ac:dyDescent="0.25">
      <c r="A201" s="126" t="s">
        <v>290</v>
      </c>
      <c r="B201" s="64">
        <f t="shared" si="2"/>
        <v>3071</v>
      </c>
      <c r="C201" s="71">
        <v>0</v>
      </c>
      <c r="D201" s="67">
        <v>3071</v>
      </c>
      <c r="E201" s="67">
        <v>0</v>
      </c>
      <c r="F201" s="67">
        <v>0</v>
      </c>
      <c r="G201" s="67">
        <v>0</v>
      </c>
      <c r="H201" s="71">
        <v>0</v>
      </c>
      <c r="I201" s="67">
        <v>0</v>
      </c>
    </row>
    <row r="202" spans="1:9" ht="33.75" customHeight="1" x14ac:dyDescent="0.25">
      <c r="A202" s="133" t="s">
        <v>356</v>
      </c>
      <c r="B202" s="64">
        <f t="shared" si="2"/>
        <v>2523</v>
      </c>
      <c r="C202" s="55">
        <v>979</v>
      </c>
      <c r="D202" s="55">
        <v>1544</v>
      </c>
      <c r="E202" s="55"/>
      <c r="F202" s="55"/>
      <c r="G202" s="55"/>
      <c r="H202" s="57"/>
      <c r="I202" s="57"/>
    </row>
    <row r="203" spans="1:9" ht="54" customHeight="1" x14ac:dyDescent="0.25">
      <c r="A203" s="124" t="s">
        <v>292</v>
      </c>
      <c r="B203" s="64">
        <f t="shared" si="2"/>
        <v>16836</v>
      </c>
      <c r="C203" s="55">
        <v>2065</v>
      </c>
      <c r="D203" s="55">
        <v>14771</v>
      </c>
      <c r="E203" s="55">
        <v>0</v>
      </c>
      <c r="F203" s="55">
        <v>0</v>
      </c>
      <c r="G203" s="55">
        <v>0</v>
      </c>
      <c r="H203" s="57">
        <v>0</v>
      </c>
      <c r="I203" s="57">
        <v>0</v>
      </c>
    </row>
    <row r="204" spans="1:9" ht="41.25" customHeight="1" x14ac:dyDescent="0.25">
      <c r="A204" s="124" t="s">
        <v>467</v>
      </c>
      <c r="B204" s="64">
        <f t="shared" si="2"/>
        <v>7000</v>
      </c>
      <c r="C204" s="55"/>
      <c r="D204" s="55">
        <v>7000</v>
      </c>
      <c r="E204" s="55"/>
      <c r="F204" s="55"/>
      <c r="G204" s="55"/>
      <c r="H204" s="57"/>
      <c r="I204" s="57"/>
    </row>
    <row r="205" spans="1:9" ht="25.5" customHeight="1" x14ac:dyDescent="0.25">
      <c r="A205" s="120" t="s">
        <v>39</v>
      </c>
      <c r="B205" s="64">
        <f t="shared" si="2"/>
        <v>16863</v>
      </c>
      <c r="C205" s="55">
        <v>13150</v>
      </c>
      <c r="D205" s="55">
        <v>3713</v>
      </c>
      <c r="E205" s="55">
        <v>0</v>
      </c>
      <c r="F205" s="55">
        <v>0</v>
      </c>
      <c r="G205" s="55">
        <v>0</v>
      </c>
      <c r="H205" s="57">
        <v>0</v>
      </c>
      <c r="I205" s="57">
        <v>0</v>
      </c>
    </row>
    <row r="206" spans="1:9" ht="36" customHeight="1" x14ac:dyDescent="0.25">
      <c r="A206" s="120" t="s">
        <v>207</v>
      </c>
      <c r="B206" s="64">
        <f t="shared" si="2"/>
        <v>22701</v>
      </c>
      <c r="C206" s="55">
        <v>2680</v>
      </c>
      <c r="D206" s="55">
        <f>20021-6079</f>
        <v>13942</v>
      </c>
      <c r="E206" s="55">
        <v>0</v>
      </c>
      <c r="F206" s="55">
        <v>0</v>
      </c>
      <c r="G206" s="55">
        <v>6079</v>
      </c>
      <c r="H206" s="57">
        <v>0</v>
      </c>
      <c r="I206" s="57">
        <v>0</v>
      </c>
    </row>
    <row r="207" spans="1:9" ht="29.25" customHeight="1" x14ac:dyDescent="0.25">
      <c r="A207" s="120" t="s">
        <v>40</v>
      </c>
      <c r="B207" s="64">
        <f t="shared" si="2"/>
        <v>14489</v>
      </c>
      <c r="C207" s="55">
        <v>373</v>
      </c>
      <c r="D207" s="55">
        <f>14116-1000-6792</f>
        <v>6324</v>
      </c>
      <c r="E207" s="55">
        <v>1000</v>
      </c>
      <c r="F207" s="55">
        <v>0</v>
      </c>
      <c r="G207" s="55">
        <v>6792</v>
      </c>
      <c r="H207" s="57">
        <v>0</v>
      </c>
      <c r="I207" s="57">
        <v>0</v>
      </c>
    </row>
    <row r="208" spans="1:9" ht="36" customHeight="1" x14ac:dyDescent="0.25">
      <c r="A208" s="120" t="s">
        <v>143</v>
      </c>
      <c r="B208" s="64">
        <f t="shared" si="2"/>
        <v>2809</v>
      </c>
      <c r="C208" s="55">
        <v>2319</v>
      </c>
      <c r="D208" s="55">
        <v>490</v>
      </c>
      <c r="E208" s="55">
        <v>0</v>
      </c>
      <c r="F208" s="55">
        <v>0</v>
      </c>
      <c r="G208" s="55">
        <v>0</v>
      </c>
      <c r="H208" s="57">
        <v>0</v>
      </c>
      <c r="I208" s="57">
        <v>0</v>
      </c>
    </row>
    <row r="209" spans="1:9" ht="35.25" customHeight="1" x14ac:dyDescent="0.25">
      <c r="A209" s="120" t="s">
        <v>163</v>
      </c>
      <c r="B209" s="64">
        <f t="shared" si="2"/>
        <v>30999</v>
      </c>
      <c r="C209" s="55">
        <v>17766</v>
      </c>
      <c r="D209" s="55">
        <f>11723-3199</f>
        <v>8524</v>
      </c>
      <c r="E209" s="55">
        <v>0</v>
      </c>
      <c r="F209" s="55">
        <v>0</v>
      </c>
      <c r="G209" s="55">
        <f>1510+3199</f>
        <v>4709</v>
      </c>
      <c r="H209" s="57">
        <v>0</v>
      </c>
      <c r="I209" s="57">
        <v>0</v>
      </c>
    </row>
    <row r="210" spans="1:9" ht="25.5" customHeight="1" x14ac:dyDescent="0.25">
      <c r="A210" s="120" t="s">
        <v>41</v>
      </c>
      <c r="B210" s="64">
        <f t="shared" si="2"/>
        <v>5264</v>
      </c>
      <c r="C210" s="55">
        <f>4647+180</f>
        <v>4827</v>
      </c>
      <c r="D210" s="55">
        <f>800-363</f>
        <v>437</v>
      </c>
      <c r="E210" s="55">
        <v>0</v>
      </c>
      <c r="F210" s="55">
        <v>0</v>
      </c>
      <c r="G210" s="55">
        <v>0</v>
      </c>
      <c r="H210" s="57">
        <v>0</v>
      </c>
      <c r="I210" s="57">
        <v>0</v>
      </c>
    </row>
    <row r="211" spans="1:9" ht="24" customHeight="1" x14ac:dyDescent="0.25">
      <c r="A211" s="120" t="s">
        <v>42</v>
      </c>
      <c r="B211" s="64">
        <f t="shared" si="2"/>
        <v>2110</v>
      </c>
      <c r="C211" s="55">
        <v>1855</v>
      </c>
      <c r="D211" s="55">
        <v>255</v>
      </c>
      <c r="E211" s="55">
        <v>0</v>
      </c>
      <c r="F211" s="55">
        <v>0</v>
      </c>
      <c r="G211" s="55">
        <v>0</v>
      </c>
      <c r="H211" s="57">
        <v>0</v>
      </c>
      <c r="I211" s="57">
        <v>0</v>
      </c>
    </row>
    <row r="212" spans="1:9" ht="24" customHeight="1" x14ac:dyDescent="0.25">
      <c r="A212" s="120" t="s">
        <v>365</v>
      </c>
      <c r="B212" s="64">
        <f t="shared" si="2"/>
        <v>1276</v>
      </c>
      <c r="C212" s="55">
        <v>1276</v>
      </c>
      <c r="D212" s="55"/>
      <c r="E212" s="55"/>
      <c r="F212" s="55"/>
      <c r="G212" s="55"/>
      <c r="H212" s="57"/>
      <c r="I212" s="57"/>
    </row>
    <row r="213" spans="1:9" ht="21" customHeight="1" x14ac:dyDescent="0.25">
      <c r="A213" s="124" t="s">
        <v>295</v>
      </c>
      <c r="B213" s="64">
        <f t="shared" si="2"/>
        <v>6119</v>
      </c>
      <c r="C213" s="55">
        <v>3578</v>
      </c>
      <c r="D213" s="55">
        <v>2541</v>
      </c>
      <c r="E213" s="55">
        <v>0</v>
      </c>
      <c r="F213" s="55">
        <v>0</v>
      </c>
      <c r="G213" s="55">
        <v>0</v>
      </c>
      <c r="H213" s="57">
        <v>0</v>
      </c>
      <c r="I213" s="57">
        <v>0</v>
      </c>
    </row>
    <row r="214" spans="1:9" ht="28.5" customHeight="1" x14ac:dyDescent="0.25">
      <c r="A214" s="124" t="s">
        <v>294</v>
      </c>
      <c r="B214" s="64">
        <f t="shared" ref="B214:B277" si="3">SUM(C214:I214)</f>
        <v>5003</v>
      </c>
      <c r="C214" s="55">
        <v>3578</v>
      </c>
      <c r="D214" s="55">
        <v>1425</v>
      </c>
      <c r="E214" s="55">
        <v>0</v>
      </c>
      <c r="F214" s="55">
        <v>0</v>
      </c>
      <c r="G214" s="55">
        <v>0</v>
      </c>
      <c r="H214" s="57">
        <v>0</v>
      </c>
      <c r="I214" s="57">
        <v>0</v>
      </c>
    </row>
    <row r="215" spans="1:9" ht="30" x14ac:dyDescent="0.25">
      <c r="A215" s="124" t="s">
        <v>293</v>
      </c>
      <c r="B215" s="64">
        <f t="shared" si="3"/>
        <v>13032</v>
      </c>
      <c r="C215" s="55">
        <v>9329</v>
      </c>
      <c r="D215" s="55">
        <v>3703</v>
      </c>
      <c r="E215" s="55">
        <v>0</v>
      </c>
      <c r="F215" s="55">
        <v>0</v>
      </c>
      <c r="G215" s="55">
        <v>0</v>
      </c>
      <c r="H215" s="57">
        <v>0</v>
      </c>
      <c r="I215" s="57">
        <v>0</v>
      </c>
    </row>
    <row r="216" spans="1:9" x14ac:dyDescent="0.25">
      <c r="A216" s="120" t="s">
        <v>43</v>
      </c>
      <c r="B216" s="64">
        <f t="shared" si="3"/>
        <v>275576</v>
      </c>
      <c r="C216" s="55">
        <v>228496</v>
      </c>
      <c r="D216" s="55">
        <v>30570</v>
      </c>
      <c r="E216" s="55">
        <v>0</v>
      </c>
      <c r="F216" s="55">
        <v>0</v>
      </c>
      <c r="G216" s="55">
        <v>16510</v>
      </c>
      <c r="H216" s="57">
        <v>0</v>
      </c>
      <c r="I216" s="57">
        <v>0</v>
      </c>
    </row>
    <row r="217" spans="1:9" x14ac:dyDescent="0.25">
      <c r="A217" s="134" t="s">
        <v>366</v>
      </c>
      <c r="B217" s="64">
        <f t="shared" si="3"/>
        <v>21169</v>
      </c>
      <c r="C217" s="55">
        <v>15217</v>
      </c>
      <c r="D217" s="55">
        <v>2255</v>
      </c>
      <c r="E217" s="55"/>
      <c r="F217" s="55"/>
      <c r="G217" s="79">
        <v>3501</v>
      </c>
      <c r="H217" s="57"/>
      <c r="I217" s="80">
        <v>196</v>
      </c>
    </row>
    <row r="218" spans="1:9" x14ac:dyDescent="0.25">
      <c r="A218" s="126" t="s">
        <v>283</v>
      </c>
      <c r="B218" s="64">
        <f t="shared" si="3"/>
        <v>23816</v>
      </c>
      <c r="C218" s="81">
        <v>19381</v>
      </c>
      <c r="D218" s="81">
        <v>2038</v>
      </c>
      <c r="E218" s="89">
        <v>0</v>
      </c>
      <c r="F218" s="89">
        <v>0</v>
      </c>
      <c r="G218" s="68">
        <v>2200</v>
      </c>
      <c r="H218" s="57">
        <v>0</v>
      </c>
      <c r="I218" s="68">
        <v>197</v>
      </c>
    </row>
    <row r="219" spans="1:9" ht="30.6" customHeight="1" x14ac:dyDescent="0.25">
      <c r="A219" s="126" t="s">
        <v>284</v>
      </c>
      <c r="B219" s="64">
        <f t="shared" si="3"/>
        <v>20023</v>
      </c>
      <c r="C219" s="68">
        <v>15532</v>
      </c>
      <c r="D219" s="68">
        <v>1862</v>
      </c>
      <c r="E219" s="55">
        <v>0</v>
      </c>
      <c r="F219" s="67">
        <v>0</v>
      </c>
      <c r="G219" s="68">
        <v>2432</v>
      </c>
      <c r="H219" s="57">
        <v>0</v>
      </c>
      <c r="I219" s="68">
        <v>197</v>
      </c>
    </row>
    <row r="220" spans="1:9" x14ac:dyDescent="0.25">
      <c r="A220" s="126" t="s">
        <v>285</v>
      </c>
      <c r="B220" s="64">
        <f t="shared" si="3"/>
        <v>13817</v>
      </c>
      <c r="C220" s="68">
        <v>10411</v>
      </c>
      <c r="D220" s="68">
        <v>1859</v>
      </c>
      <c r="E220" s="55">
        <v>0</v>
      </c>
      <c r="F220" s="67">
        <v>0</v>
      </c>
      <c r="G220" s="68">
        <v>1350</v>
      </c>
      <c r="H220" s="57">
        <v>0</v>
      </c>
      <c r="I220" s="68">
        <v>197</v>
      </c>
    </row>
    <row r="221" spans="1:9" x14ac:dyDescent="0.25">
      <c r="A221" s="126" t="s">
        <v>286</v>
      </c>
      <c r="B221" s="64">
        <f t="shared" si="3"/>
        <v>12469</v>
      </c>
      <c r="C221" s="68">
        <v>10122</v>
      </c>
      <c r="D221" s="68">
        <v>1350</v>
      </c>
      <c r="E221" s="55">
        <v>0</v>
      </c>
      <c r="F221" s="67">
        <v>0</v>
      </c>
      <c r="G221" s="68">
        <v>800</v>
      </c>
      <c r="H221" s="57">
        <v>0</v>
      </c>
      <c r="I221" s="68">
        <v>197</v>
      </c>
    </row>
    <row r="222" spans="1:9" x14ac:dyDescent="0.25">
      <c r="A222" s="124" t="s">
        <v>302</v>
      </c>
      <c r="B222" s="64">
        <f t="shared" si="3"/>
        <v>52874</v>
      </c>
      <c r="C222" s="55">
        <v>39352</v>
      </c>
      <c r="D222" s="55">
        <v>9566</v>
      </c>
      <c r="E222" s="55">
        <v>1600</v>
      </c>
      <c r="F222" s="55">
        <v>0</v>
      </c>
      <c r="G222" s="55"/>
      <c r="H222" s="57">
        <v>0</v>
      </c>
      <c r="I222" s="57">
        <v>2356</v>
      </c>
    </row>
    <row r="223" spans="1:9" x14ac:dyDescent="0.25">
      <c r="A223" s="124" t="s">
        <v>301</v>
      </c>
      <c r="B223" s="64">
        <f t="shared" si="3"/>
        <v>11244</v>
      </c>
      <c r="C223" s="55">
        <v>8424</v>
      </c>
      <c r="D223" s="55">
        <v>2400</v>
      </c>
      <c r="E223" s="55">
        <v>0</v>
      </c>
      <c r="F223" s="55">
        <v>0</v>
      </c>
      <c r="G223" s="55">
        <v>420</v>
      </c>
      <c r="H223" s="57">
        <v>0</v>
      </c>
      <c r="I223" s="57">
        <v>0</v>
      </c>
    </row>
    <row r="224" spans="1:9" x14ac:dyDescent="0.25">
      <c r="A224" s="124" t="s">
        <v>300</v>
      </c>
      <c r="B224" s="64">
        <f t="shared" si="3"/>
        <v>11623</v>
      </c>
      <c r="C224" s="55">
        <v>9260</v>
      </c>
      <c r="D224" s="55">
        <v>1863</v>
      </c>
      <c r="E224" s="55">
        <v>0</v>
      </c>
      <c r="F224" s="55">
        <v>0</v>
      </c>
      <c r="G224" s="55">
        <v>500</v>
      </c>
      <c r="H224" s="57">
        <v>0</v>
      </c>
      <c r="I224" s="57">
        <v>0</v>
      </c>
    </row>
    <row r="225" spans="1:9" x14ac:dyDescent="0.25">
      <c r="A225" s="124" t="s">
        <v>299</v>
      </c>
      <c r="B225" s="64">
        <f t="shared" si="3"/>
        <v>12633</v>
      </c>
      <c r="C225" s="55">
        <v>8951</v>
      </c>
      <c r="D225" s="55">
        <v>2582</v>
      </c>
      <c r="E225" s="55">
        <v>0</v>
      </c>
      <c r="F225" s="55">
        <v>0</v>
      </c>
      <c r="G225" s="55">
        <v>1100</v>
      </c>
      <c r="H225" s="57">
        <v>0</v>
      </c>
      <c r="I225" s="57">
        <v>0</v>
      </c>
    </row>
    <row r="226" spans="1:9" ht="30" x14ac:dyDescent="0.25">
      <c r="A226" s="124" t="s">
        <v>298</v>
      </c>
      <c r="B226" s="64">
        <f t="shared" si="3"/>
        <v>9522</v>
      </c>
      <c r="C226" s="55">
        <v>8269</v>
      </c>
      <c r="D226" s="55">
        <v>793</v>
      </c>
      <c r="E226" s="55">
        <v>0</v>
      </c>
      <c r="F226" s="55">
        <v>0</v>
      </c>
      <c r="G226" s="55">
        <v>460</v>
      </c>
      <c r="H226" s="57">
        <v>0</v>
      </c>
      <c r="I226" s="57">
        <v>0</v>
      </c>
    </row>
    <row r="227" spans="1:9" x14ac:dyDescent="0.25">
      <c r="A227" s="124" t="s">
        <v>297</v>
      </c>
      <c r="B227" s="64">
        <f t="shared" si="3"/>
        <v>9484</v>
      </c>
      <c r="C227" s="55">
        <v>8424</v>
      </c>
      <c r="D227" s="55">
        <v>650</v>
      </c>
      <c r="E227" s="55">
        <v>0</v>
      </c>
      <c r="F227" s="55">
        <v>0</v>
      </c>
      <c r="G227" s="55">
        <v>410</v>
      </c>
      <c r="H227" s="57">
        <v>0</v>
      </c>
      <c r="I227" s="57">
        <v>0</v>
      </c>
    </row>
    <row r="228" spans="1:9" x14ac:dyDescent="0.25">
      <c r="A228" s="124" t="s">
        <v>296</v>
      </c>
      <c r="B228" s="64">
        <f t="shared" si="3"/>
        <v>12056</v>
      </c>
      <c r="C228" s="58">
        <v>8951</v>
      </c>
      <c r="D228" s="58">
        <v>2525</v>
      </c>
      <c r="E228" s="58">
        <v>0</v>
      </c>
      <c r="F228" s="58">
        <v>0</v>
      </c>
      <c r="G228" s="58">
        <v>580</v>
      </c>
      <c r="H228" s="57">
        <v>0</v>
      </c>
      <c r="I228" s="59">
        <v>0</v>
      </c>
    </row>
    <row r="229" spans="1:9" x14ac:dyDescent="0.25">
      <c r="A229" s="126" t="s">
        <v>306</v>
      </c>
      <c r="B229" s="64">
        <f t="shared" si="3"/>
        <v>9700</v>
      </c>
      <c r="C229" s="68">
        <f>8654+498</f>
        <v>9152</v>
      </c>
      <c r="D229" s="68">
        <f>1046-498</f>
        <v>548</v>
      </c>
      <c r="E229" s="67">
        <v>0</v>
      </c>
      <c r="F229" s="67">
        <v>0</v>
      </c>
      <c r="G229" s="67">
        <v>0</v>
      </c>
      <c r="H229" s="67">
        <v>0</v>
      </c>
      <c r="I229" s="67">
        <v>0</v>
      </c>
    </row>
    <row r="230" spans="1:9" x14ac:dyDescent="0.25">
      <c r="A230" s="123" t="s">
        <v>198</v>
      </c>
      <c r="B230" s="64">
        <f t="shared" si="3"/>
        <v>130303</v>
      </c>
      <c r="C230" s="55">
        <v>100353</v>
      </c>
      <c r="D230" s="55">
        <v>29950</v>
      </c>
      <c r="E230" s="55">
        <v>0</v>
      </c>
      <c r="F230" s="55">
        <v>0</v>
      </c>
      <c r="G230" s="55">
        <v>0</v>
      </c>
      <c r="H230" s="57">
        <v>0</v>
      </c>
      <c r="I230" s="57">
        <v>0</v>
      </c>
    </row>
    <row r="231" spans="1:9" x14ac:dyDescent="0.25">
      <c r="A231" s="123" t="s">
        <v>367</v>
      </c>
      <c r="B231" s="64">
        <f t="shared" si="3"/>
        <v>99934</v>
      </c>
      <c r="C231" s="55">
        <f>34363-8045</f>
        <v>26318</v>
      </c>
      <c r="D231" s="55">
        <f>9020-3038</f>
        <v>5982</v>
      </c>
      <c r="E231" s="55"/>
      <c r="F231" s="55"/>
      <c r="G231" s="55">
        <f>56551+3038+8045</f>
        <v>67634</v>
      </c>
      <c r="H231" s="57"/>
      <c r="I231" s="57"/>
    </row>
    <row r="232" spans="1:9" x14ac:dyDescent="0.25">
      <c r="A232" s="124" t="s">
        <v>305</v>
      </c>
      <c r="B232" s="64">
        <f t="shared" si="3"/>
        <v>65134</v>
      </c>
      <c r="C232" s="55">
        <v>38336</v>
      </c>
      <c r="D232" s="55">
        <v>26041</v>
      </c>
      <c r="E232" s="55">
        <v>0</v>
      </c>
      <c r="F232" s="55">
        <v>0</v>
      </c>
      <c r="G232" s="55">
        <v>757</v>
      </c>
      <c r="H232" s="57">
        <v>0</v>
      </c>
      <c r="I232" s="57">
        <v>0</v>
      </c>
    </row>
    <row r="233" spans="1:9" ht="30" x14ac:dyDescent="0.25">
      <c r="A233" s="124" t="s">
        <v>304</v>
      </c>
      <c r="B233" s="64">
        <f t="shared" si="3"/>
        <v>15013</v>
      </c>
      <c r="C233" s="55">
        <v>10530</v>
      </c>
      <c r="D233" s="55">
        <v>2983</v>
      </c>
      <c r="E233" s="55">
        <v>0</v>
      </c>
      <c r="F233" s="55">
        <v>0</v>
      </c>
      <c r="G233" s="55">
        <v>1500</v>
      </c>
      <c r="H233" s="57">
        <v>0</v>
      </c>
      <c r="I233" s="57">
        <v>0</v>
      </c>
    </row>
    <row r="234" spans="1:9" ht="30" x14ac:dyDescent="0.25">
      <c r="A234" s="124" t="s">
        <v>303</v>
      </c>
      <c r="B234" s="64">
        <f t="shared" si="3"/>
        <v>9663</v>
      </c>
      <c r="C234" s="55">
        <v>7537</v>
      </c>
      <c r="D234" s="55">
        <v>470</v>
      </c>
      <c r="E234" s="55">
        <v>0</v>
      </c>
      <c r="F234" s="55">
        <v>0</v>
      </c>
      <c r="G234" s="55">
        <v>1656</v>
      </c>
      <c r="H234" s="57">
        <v>0</v>
      </c>
      <c r="I234" s="57">
        <v>0</v>
      </c>
    </row>
    <row r="235" spans="1:9" ht="24" customHeight="1" x14ac:dyDescent="0.25">
      <c r="A235" s="120" t="s">
        <v>193</v>
      </c>
      <c r="B235" s="64">
        <f t="shared" si="3"/>
        <v>228208</v>
      </c>
      <c r="C235" s="55">
        <v>183503</v>
      </c>
      <c r="D235" s="55">
        <f>44705-1609</f>
        <v>43096</v>
      </c>
      <c r="E235" s="55">
        <v>0</v>
      </c>
      <c r="F235" s="55">
        <v>0</v>
      </c>
      <c r="G235" s="55">
        <v>1609</v>
      </c>
      <c r="H235" s="57">
        <v>0</v>
      </c>
      <c r="I235" s="57">
        <v>0</v>
      </c>
    </row>
    <row r="236" spans="1:9" x14ac:dyDescent="0.25">
      <c r="A236" s="120" t="s">
        <v>44</v>
      </c>
      <c r="B236" s="64">
        <f t="shared" si="3"/>
        <v>89210</v>
      </c>
      <c r="C236" s="55">
        <f>1050+2300</f>
        <v>3350</v>
      </c>
      <c r="D236" s="55">
        <f>88160-2958</f>
        <v>85202</v>
      </c>
      <c r="E236" s="55">
        <v>0</v>
      </c>
      <c r="F236" s="55">
        <v>0</v>
      </c>
      <c r="G236" s="55">
        <v>658</v>
      </c>
      <c r="H236" s="57">
        <v>0</v>
      </c>
      <c r="I236" s="57">
        <v>0</v>
      </c>
    </row>
    <row r="237" spans="1:9" x14ac:dyDescent="0.25">
      <c r="A237" s="120" t="s">
        <v>45</v>
      </c>
      <c r="B237" s="64">
        <f t="shared" si="3"/>
        <v>22455</v>
      </c>
      <c r="C237" s="55">
        <v>14227</v>
      </c>
      <c r="D237" s="55">
        <f>4735-1510</f>
        <v>3225</v>
      </c>
      <c r="E237" s="55">
        <v>0</v>
      </c>
      <c r="F237" s="55">
        <v>0</v>
      </c>
      <c r="G237" s="55">
        <f>4643+360</f>
        <v>5003</v>
      </c>
      <c r="H237" s="57">
        <v>0</v>
      </c>
      <c r="I237" s="57">
        <v>0</v>
      </c>
    </row>
    <row r="238" spans="1:9" ht="30" x14ac:dyDescent="0.25">
      <c r="A238" s="120" t="s">
        <v>46</v>
      </c>
      <c r="B238" s="64">
        <f t="shared" si="3"/>
        <v>13643</v>
      </c>
      <c r="C238" s="55">
        <v>10668</v>
      </c>
      <c r="D238" s="55">
        <v>2975</v>
      </c>
      <c r="E238" s="55">
        <v>0</v>
      </c>
      <c r="F238" s="55">
        <v>0</v>
      </c>
      <c r="G238" s="55"/>
      <c r="H238" s="57">
        <v>0</v>
      </c>
      <c r="I238" s="57">
        <v>0</v>
      </c>
    </row>
    <row r="239" spans="1:9" ht="30" x14ac:dyDescent="0.25">
      <c r="A239" s="120" t="s">
        <v>47</v>
      </c>
      <c r="B239" s="64">
        <f t="shared" si="3"/>
        <v>10725</v>
      </c>
      <c r="C239" s="55">
        <v>8278</v>
      </c>
      <c r="D239" s="55">
        <v>2447</v>
      </c>
      <c r="E239" s="55">
        <v>0</v>
      </c>
      <c r="F239" s="55">
        <v>0</v>
      </c>
      <c r="G239" s="55"/>
      <c r="H239" s="57">
        <v>0</v>
      </c>
      <c r="I239" s="57">
        <v>0</v>
      </c>
    </row>
    <row r="240" spans="1:9" x14ac:dyDescent="0.25">
      <c r="A240" s="120" t="s">
        <v>48</v>
      </c>
      <c r="B240" s="64">
        <f t="shared" si="3"/>
        <v>38795</v>
      </c>
      <c r="C240" s="55">
        <f>33875-370</f>
        <v>33505</v>
      </c>
      <c r="D240" s="55">
        <f>5410-120</f>
        <v>5290</v>
      </c>
      <c r="E240" s="55">
        <v>0</v>
      </c>
      <c r="F240" s="55">
        <v>0</v>
      </c>
      <c r="G240" s="55"/>
      <c r="H240" s="57">
        <v>0</v>
      </c>
      <c r="I240" s="57">
        <v>0</v>
      </c>
    </row>
    <row r="241" spans="1:9" x14ac:dyDescent="0.25">
      <c r="A241" s="120" t="s">
        <v>49</v>
      </c>
      <c r="B241" s="64">
        <f t="shared" si="3"/>
        <v>35694</v>
      </c>
      <c r="C241" s="55">
        <f>28061+237</f>
        <v>28298</v>
      </c>
      <c r="D241" s="55">
        <f>5733-237+1900</f>
        <v>7396</v>
      </c>
      <c r="E241" s="55">
        <v>0</v>
      </c>
      <c r="F241" s="55">
        <v>0</v>
      </c>
      <c r="G241" s="55"/>
      <c r="H241" s="57">
        <v>0</v>
      </c>
      <c r="I241" s="57">
        <v>0</v>
      </c>
    </row>
    <row r="242" spans="1:9" x14ac:dyDescent="0.25">
      <c r="A242" s="120" t="s">
        <v>50</v>
      </c>
      <c r="B242" s="64">
        <f t="shared" si="3"/>
        <v>19763</v>
      </c>
      <c r="C242" s="55">
        <v>15903</v>
      </c>
      <c r="D242" s="55">
        <v>3860</v>
      </c>
      <c r="E242" s="55">
        <v>0</v>
      </c>
      <c r="F242" s="55">
        <v>0</v>
      </c>
      <c r="G242" s="55"/>
      <c r="H242" s="57">
        <v>0</v>
      </c>
      <c r="I242" s="57">
        <v>0</v>
      </c>
    </row>
    <row r="243" spans="1:9" x14ac:dyDescent="0.25">
      <c r="A243" s="120" t="s">
        <v>51</v>
      </c>
      <c r="B243" s="64">
        <f t="shared" si="3"/>
        <v>60485</v>
      </c>
      <c r="C243" s="55">
        <v>34372</v>
      </c>
      <c r="D243" s="55">
        <f>28196-4083</f>
        <v>24113</v>
      </c>
      <c r="E243" s="55">
        <v>0</v>
      </c>
      <c r="F243" s="55">
        <v>0</v>
      </c>
      <c r="G243" s="55">
        <v>2000</v>
      </c>
      <c r="H243" s="57">
        <v>0</v>
      </c>
      <c r="I243" s="57">
        <v>0</v>
      </c>
    </row>
    <row r="244" spans="1:9" x14ac:dyDescent="0.25">
      <c r="A244" s="120" t="s">
        <v>52</v>
      </c>
      <c r="B244" s="64">
        <f t="shared" si="3"/>
        <v>40731</v>
      </c>
      <c r="C244" s="55">
        <v>30767</v>
      </c>
      <c r="D244" s="55">
        <v>9964</v>
      </c>
      <c r="E244" s="55">
        <v>0</v>
      </c>
      <c r="F244" s="55">
        <v>0</v>
      </c>
      <c r="G244" s="55"/>
      <c r="H244" s="57">
        <v>0</v>
      </c>
      <c r="I244" s="57">
        <v>0</v>
      </c>
    </row>
    <row r="245" spans="1:9" x14ac:dyDescent="0.25">
      <c r="A245" s="120" t="s">
        <v>53</v>
      </c>
      <c r="B245" s="64">
        <f t="shared" si="3"/>
        <v>31003</v>
      </c>
      <c r="C245" s="55">
        <v>24349</v>
      </c>
      <c r="D245" s="55">
        <f>6354-745</f>
        <v>5609</v>
      </c>
      <c r="E245" s="55">
        <v>0</v>
      </c>
      <c r="F245" s="55">
        <v>0</v>
      </c>
      <c r="G245" s="55">
        <v>1045</v>
      </c>
      <c r="H245" s="57">
        <v>0</v>
      </c>
      <c r="I245" s="57">
        <v>0</v>
      </c>
    </row>
    <row r="246" spans="1:9" x14ac:dyDescent="0.25">
      <c r="A246" s="120" t="s">
        <v>54</v>
      </c>
      <c r="B246" s="64">
        <f t="shared" si="3"/>
        <v>19611</v>
      </c>
      <c r="C246" s="55">
        <v>15774</v>
      </c>
      <c r="D246" s="55">
        <v>3837</v>
      </c>
      <c r="E246" s="55">
        <v>0</v>
      </c>
      <c r="F246" s="55">
        <v>0</v>
      </c>
      <c r="G246" s="55"/>
      <c r="H246" s="57">
        <v>0</v>
      </c>
      <c r="I246" s="57">
        <v>0</v>
      </c>
    </row>
    <row r="247" spans="1:9" ht="30" x14ac:dyDescent="0.25">
      <c r="A247" s="120" t="s">
        <v>368</v>
      </c>
      <c r="B247" s="64">
        <f t="shared" si="3"/>
        <v>8938</v>
      </c>
      <c r="C247" s="55">
        <v>8838</v>
      </c>
      <c r="D247" s="55"/>
      <c r="E247" s="55"/>
      <c r="F247" s="55"/>
      <c r="G247" s="55"/>
      <c r="H247" s="57"/>
      <c r="I247" s="57">
        <v>100</v>
      </c>
    </row>
    <row r="248" spans="1:9" ht="30" x14ac:dyDescent="0.25">
      <c r="A248" s="126" t="s">
        <v>287</v>
      </c>
      <c r="B248" s="64">
        <f t="shared" si="3"/>
        <v>65886</v>
      </c>
      <c r="C248" s="81">
        <v>46397</v>
      </c>
      <c r="D248" s="81">
        <v>19489</v>
      </c>
      <c r="E248" s="82">
        <v>0</v>
      </c>
      <c r="F248" s="82">
        <v>0</v>
      </c>
      <c r="G248" s="82">
        <v>0</v>
      </c>
      <c r="H248" s="82">
        <v>0</v>
      </c>
      <c r="I248" s="82">
        <v>0</v>
      </c>
    </row>
    <row r="249" spans="1:9" x14ac:dyDescent="0.25">
      <c r="A249" s="126" t="s">
        <v>288</v>
      </c>
      <c r="B249" s="64">
        <f t="shared" si="3"/>
        <v>33298</v>
      </c>
      <c r="C249" s="68">
        <v>23235</v>
      </c>
      <c r="D249" s="68">
        <v>8915</v>
      </c>
      <c r="E249" s="67">
        <v>0</v>
      </c>
      <c r="F249" s="67">
        <v>0</v>
      </c>
      <c r="G249" s="68">
        <v>1148</v>
      </c>
      <c r="H249" s="67">
        <v>0</v>
      </c>
      <c r="I249" s="67">
        <v>0</v>
      </c>
    </row>
    <row r="250" spans="1:9" x14ac:dyDescent="0.25">
      <c r="A250" s="135" t="s">
        <v>370</v>
      </c>
      <c r="B250" s="64">
        <f t="shared" si="3"/>
        <v>64532</v>
      </c>
      <c r="C250" s="72">
        <v>31357</v>
      </c>
      <c r="D250" s="72">
        <v>6869</v>
      </c>
      <c r="E250" s="72"/>
      <c r="F250" s="72"/>
      <c r="G250" s="72">
        <v>26306</v>
      </c>
      <c r="H250" s="90"/>
      <c r="I250" s="90"/>
    </row>
    <row r="251" spans="1:9" x14ac:dyDescent="0.25">
      <c r="A251" s="135" t="s">
        <v>481</v>
      </c>
      <c r="B251" s="64">
        <f t="shared" si="3"/>
        <v>5627</v>
      </c>
      <c r="C251" s="72"/>
      <c r="D251" s="72">
        <v>5627</v>
      </c>
      <c r="E251" s="72"/>
      <c r="F251" s="72"/>
      <c r="G251" s="72"/>
      <c r="H251" s="90"/>
      <c r="I251" s="90"/>
    </row>
    <row r="252" spans="1:9" x14ac:dyDescent="0.25">
      <c r="A252" s="119" t="s">
        <v>372</v>
      </c>
      <c r="B252" s="64">
        <f t="shared" si="3"/>
        <v>3395</v>
      </c>
      <c r="C252" s="55">
        <v>2345</v>
      </c>
      <c r="D252" s="55">
        <v>1050</v>
      </c>
      <c r="E252" s="55"/>
      <c r="F252" s="55"/>
      <c r="G252" s="55"/>
      <c r="H252" s="57"/>
      <c r="I252" s="57"/>
    </row>
    <row r="253" spans="1:9" x14ac:dyDescent="0.25">
      <c r="A253" s="119" t="s">
        <v>371</v>
      </c>
      <c r="B253" s="64">
        <f t="shared" si="3"/>
        <v>756</v>
      </c>
      <c r="C253" s="55"/>
      <c r="D253" s="55">
        <v>756</v>
      </c>
      <c r="E253" s="55"/>
      <c r="F253" s="55"/>
      <c r="G253" s="55"/>
      <c r="H253" s="57"/>
      <c r="I253" s="57"/>
    </row>
    <row r="254" spans="1:9" ht="30" x14ac:dyDescent="0.25">
      <c r="A254" s="120" t="s">
        <v>368</v>
      </c>
      <c r="B254" s="64">
        <f t="shared" si="3"/>
        <v>2496</v>
      </c>
      <c r="C254" s="55">
        <v>802</v>
      </c>
      <c r="D254" s="55">
        <v>802</v>
      </c>
      <c r="E254" s="55"/>
      <c r="F254" s="55"/>
      <c r="G254" s="55"/>
      <c r="H254" s="57"/>
      <c r="I254" s="57">
        <v>892</v>
      </c>
    </row>
    <row r="255" spans="1:9" ht="30" x14ac:dyDescent="0.25">
      <c r="A255" s="124" t="s">
        <v>385</v>
      </c>
      <c r="B255" s="64">
        <f t="shared" si="3"/>
        <v>28897</v>
      </c>
      <c r="C255" s="55">
        <v>20007</v>
      </c>
      <c r="D255" s="55">
        <v>8890</v>
      </c>
      <c r="E255" s="55"/>
      <c r="F255" s="55"/>
      <c r="G255" s="55"/>
      <c r="H255" s="57"/>
      <c r="I255" s="57"/>
    </row>
    <row r="256" spans="1:9" x14ac:dyDescent="0.25">
      <c r="A256" s="124" t="s">
        <v>384</v>
      </c>
      <c r="B256" s="64">
        <f t="shared" si="3"/>
        <v>10856</v>
      </c>
      <c r="C256" s="55">
        <v>5626</v>
      </c>
      <c r="D256" s="55">
        <v>5230</v>
      </c>
      <c r="E256" s="55"/>
      <c r="F256" s="55"/>
      <c r="G256" s="55"/>
      <c r="H256" s="57"/>
      <c r="I256" s="57"/>
    </row>
    <row r="257" spans="1:9" x14ac:dyDescent="0.25">
      <c r="A257" s="124" t="s">
        <v>383</v>
      </c>
      <c r="B257" s="64">
        <f t="shared" si="3"/>
        <v>29062</v>
      </c>
      <c r="C257" s="55">
        <v>21655</v>
      </c>
      <c r="D257" s="55">
        <v>7407</v>
      </c>
      <c r="E257" s="55"/>
      <c r="F257" s="55"/>
      <c r="G257" s="55"/>
      <c r="H257" s="57"/>
      <c r="I257" s="57"/>
    </row>
    <row r="258" spans="1:9" ht="30" x14ac:dyDescent="0.25">
      <c r="A258" s="124" t="s">
        <v>382</v>
      </c>
      <c r="B258" s="64">
        <f t="shared" si="3"/>
        <v>466780</v>
      </c>
      <c r="C258" s="55">
        <v>24930</v>
      </c>
      <c r="D258" s="55">
        <v>10379</v>
      </c>
      <c r="E258" s="55"/>
      <c r="F258" s="55"/>
      <c r="G258" s="55">
        <v>431471</v>
      </c>
      <c r="H258" s="57"/>
      <c r="I258" s="57"/>
    </row>
    <row r="259" spans="1:9" x14ac:dyDescent="0.25">
      <c r="A259" s="124" t="s">
        <v>381</v>
      </c>
      <c r="B259" s="64">
        <f t="shared" si="3"/>
        <v>79811</v>
      </c>
      <c r="C259" s="55">
        <v>53950</v>
      </c>
      <c r="D259" s="55">
        <v>25861</v>
      </c>
      <c r="E259" s="55"/>
      <c r="F259" s="55"/>
      <c r="G259" s="55"/>
      <c r="H259" s="57"/>
      <c r="I259" s="57"/>
    </row>
    <row r="260" spans="1:9" x14ac:dyDescent="0.25">
      <c r="A260" s="124" t="s">
        <v>380</v>
      </c>
      <c r="B260" s="64">
        <f t="shared" si="3"/>
        <v>35888</v>
      </c>
      <c r="C260" s="55">
        <v>26664</v>
      </c>
      <c r="D260" s="55">
        <v>9224</v>
      </c>
      <c r="E260" s="55"/>
      <c r="F260" s="55"/>
      <c r="G260" s="55"/>
      <c r="H260" s="57"/>
      <c r="I260" s="57"/>
    </row>
    <row r="261" spans="1:9" x14ac:dyDescent="0.25">
      <c r="A261" s="124" t="s">
        <v>379</v>
      </c>
      <c r="B261" s="64">
        <f t="shared" si="3"/>
        <v>5460</v>
      </c>
      <c r="C261" s="55">
        <v>2292</v>
      </c>
      <c r="D261" s="55">
        <v>3168</v>
      </c>
      <c r="E261" s="55"/>
      <c r="F261" s="55"/>
      <c r="G261" s="55"/>
      <c r="H261" s="57"/>
      <c r="I261" s="57"/>
    </row>
    <row r="262" spans="1:9" x14ac:dyDescent="0.25">
      <c r="A262" s="124" t="s">
        <v>378</v>
      </c>
      <c r="B262" s="64">
        <f t="shared" si="3"/>
        <v>1355</v>
      </c>
      <c r="C262" s="55">
        <v>832</v>
      </c>
      <c r="D262" s="55">
        <v>523</v>
      </c>
      <c r="E262" s="55"/>
      <c r="F262" s="55"/>
      <c r="G262" s="55"/>
      <c r="H262" s="57"/>
      <c r="I262" s="57"/>
    </row>
    <row r="263" spans="1:9" x14ac:dyDescent="0.25">
      <c r="A263" s="124" t="s">
        <v>377</v>
      </c>
      <c r="B263" s="64">
        <f t="shared" si="3"/>
        <v>31006</v>
      </c>
      <c r="C263" s="55">
        <v>24212</v>
      </c>
      <c r="D263" s="55">
        <v>6794</v>
      </c>
      <c r="E263" s="55"/>
      <c r="F263" s="55"/>
      <c r="G263" s="55"/>
      <c r="H263" s="57"/>
      <c r="I263" s="57"/>
    </row>
    <row r="264" spans="1:9" ht="30" x14ac:dyDescent="0.25">
      <c r="A264" s="124" t="s">
        <v>376</v>
      </c>
      <c r="B264" s="64">
        <f t="shared" si="3"/>
        <v>9656</v>
      </c>
      <c r="C264" s="58">
        <v>6652</v>
      </c>
      <c r="D264" s="58">
        <v>3004</v>
      </c>
      <c r="E264" s="58"/>
      <c r="F264" s="58"/>
      <c r="G264" s="58"/>
      <c r="H264" s="59"/>
      <c r="I264" s="57"/>
    </row>
    <row r="265" spans="1:9" x14ac:dyDescent="0.25">
      <c r="A265" s="124" t="s">
        <v>375</v>
      </c>
      <c r="B265" s="64">
        <f t="shared" si="3"/>
        <v>1493</v>
      </c>
      <c r="C265" s="55"/>
      <c r="D265" s="55">
        <v>1493</v>
      </c>
      <c r="E265" s="55"/>
      <c r="F265" s="55"/>
      <c r="G265" s="55"/>
      <c r="H265" s="57"/>
      <c r="I265" s="57"/>
    </row>
    <row r="266" spans="1:9" ht="30" x14ac:dyDescent="0.25">
      <c r="A266" s="124" t="s">
        <v>386</v>
      </c>
      <c r="B266" s="64">
        <f t="shared" si="3"/>
        <v>11500</v>
      </c>
      <c r="C266" s="55"/>
      <c r="D266" s="55"/>
      <c r="E266" s="55">
        <v>11500</v>
      </c>
      <c r="F266" s="55"/>
      <c r="G266" s="55"/>
      <c r="H266" s="57"/>
      <c r="I266" s="57"/>
    </row>
    <row r="267" spans="1:9" ht="30" x14ac:dyDescent="0.25">
      <c r="A267" s="119" t="s">
        <v>374</v>
      </c>
      <c r="B267" s="64">
        <f t="shared" si="3"/>
        <v>5686</v>
      </c>
      <c r="C267" s="55"/>
      <c r="D267" s="55"/>
      <c r="E267" s="55">
        <v>5686</v>
      </c>
      <c r="F267" s="55"/>
      <c r="G267" s="55"/>
      <c r="H267" s="57"/>
      <c r="I267" s="57"/>
    </row>
    <row r="268" spans="1:9" ht="30" x14ac:dyDescent="0.25">
      <c r="A268" s="119" t="s">
        <v>387</v>
      </c>
      <c r="B268" s="64">
        <f t="shared" si="3"/>
        <v>19700</v>
      </c>
      <c r="C268" s="55"/>
      <c r="D268" s="55"/>
      <c r="E268" s="55">
        <v>19700</v>
      </c>
      <c r="F268" s="55"/>
      <c r="G268" s="55"/>
      <c r="H268" s="57"/>
      <c r="I268" s="57"/>
    </row>
    <row r="269" spans="1:9" ht="30" x14ac:dyDescent="0.25">
      <c r="A269" s="123" t="s">
        <v>373</v>
      </c>
      <c r="B269" s="64">
        <f t="shared" si="3"/>
        <v>2000</v>
      </c>
      <c r="C269" s="77"/>
      <c r="D269" s="77"/>
      <c r="E269" s="76">
        <v>2000</v>
      </c>
      <c r="F269" s="76"/>
      <c r="G269" s="77"/>
      <c r="H269" s="76"/>
      <c r="I269" s="76"/>
    </row>
    <row r="270" spans="1:9" ht="30" x14ac:dyDescent="0.25">
      <c r="A270" s="136" t="s">
        <v>55</v>
      </c>
      <c r="B270" s="64">
        <f t="shared" si="3"/>
        <v>51264</v>
      </c>
      <c r="C270" s="55">
        <f>14317-5729</f>
        <v>8588</v>
      </c>
      <c r="D270" s="55">
        <f>33391+7175</f>
        <v>40566</v>
      </c>
      <c r="E270" s="55">
        <f>750+700</f>
        <v>1450</v>
      </c>
      <c r="F270" s="55">
        <v>0</v>
      </c>
      <c r="G270" s="55"/>
      <c r="H270" s="57">
        <v>660</v>
      </c>
      <c r="I270" s="57">
        <v>0</v>
      </c>
    </row>
    <row r="271" spans="1:9" ht="30" x14ac:dyDescent="0.25">
      <c r="A271" s="137" t="s">
        <v>168</v>
      </c>
      <c r="B271" s="64">
        <f t="shared" si="3"/>
        <v>1172</v>
      </c>
      <c r="C271" s="55"/>
      <c r="D271" s="55">
        <v>1172</v>
      </c>
      <c r="E271" s="55">
        <v>0</v>
      </c>
      <c r="F271" s="55"/>
      <c r="G271" s="55"/>
      <c r="H271" s="57">
        <v>0</v>
      </c>
      <c r="I271" s="57"/>
    </row>
    <row r="272" spans="1:9" ht="30" x14ac:dyDescent="0.25">
      <c r="A272" s="119" t="s">
        <v>430</v>
      </c>
      <c r="B272" s="64">
        <f t="shared" si="3"/>
        <v>800</v>
      </c>
      <c r="C272" s="55">
        <v>800</v>
      </c>
      <c r="D272" s="55"/>
      <c r="E272" s="55"/>
      <c r="F272" s="55"/>
      <c r="G272" s="55"/>
      <c r="H272" s="57"/>
      <c r="I272" s="57"/>
    </row>
    <row r="273" spans="1:9" ht="30" x14ac:dyDescent="0.25">
      <c r="A273" s="119" t="s">
        <v>429</v>
      </c>
      <c r="B273" s="64">
        <f t="shared" si="3"/>
        <v>2800</v>
      </c>
      <c r="C273" s="55"/>
      <c r="D273" s="55"/>
      <c r="E273" s="55"/>
      <c r="F273" s="55"/>
      <c r="G273" s="55">
        <v>2800</v>
      </c>
      <c r="H273" s="57"/>
      <c r="I273" s="57"/>
    </row>
    <row r="274" spans="1:9" ht="30" x14ac:dyDescent="0.25">
      <c r="A274" s="119" t="s">
        <v>431</v>
      </c>
      <c r="B274" s="64">
        <f t="shared" si="3"/>
        <v>1030</v>
      </c>
      <c r="C274" s="55"/>
      <c r="D274" s="55"/>
      <c r="E274" s="55"/>
      <c r="F274" s="55"/>
      <c r="G274" s="55">
        <v>1030</v>
      </c>
      <c r="H274" s="57"/>
      <c r="I274" s="57"/>
    </row>
    <row r="275" spans="1:9" x14ac:dyDescent="0.25">
      <c r="A275" s="120" t="s">
        <v>56</v>
      </c>
      <c r="B275" s="64">
        <f t="shared" si="3"/>
        <v>652941</v>
      </c>
      <c r="C275" s="55">
        <v>556903</v>
      </c>
      <c r="D275" s="55">
        <f>90938+4445</f>
        <v>95383</v>
      </c>
      <c r="E275" s="55">
        <v>0</v>
      </c>
      <c r="F275" s="55">
        <v>0</v>
      </c>
      <c r="G275" s="55">
        <f>5100-4445</f>
        <v>655</v>
      </c>
      <c r="H275" s="57">
        <v>0</v>
      </c>
      <c r="I275" s="57">
        <v>0</v>
      </c>
    </row>
    <row r="276" spans="1:9" x14ac:dyDescent="0.25">
      <c r="A276" s="120" t="s">
        <v>57</v>
      </c>
      <c r="B276" s="64">
        <f t="shared" si="3"/>
        <v>400671</v>
      </c>
      <c r="C276" s="55">
        <v>327609</v>
      </c>
      <c r="D276" s="55">
        <f>73062-5584</f>
        <v>67478</v>
      </c>
      <c r="E276" s="55">
        <v>0</v>
      </c>
      <c r="F276" s="55">
        <v>0</v>
      </c>
      <c r="G276" s="55">
        <v>5584</v>
      </c>
      <c r="H276" s="57">
        <v>0</v>
      </c>
      <c r="I276" s="57">
        <v>0</v>
      </c>
    </row>
    <row r="277" spans="1:9" x14ac:dyDescent="0.25">
      <c r="A277" s="120" t="s">
        <v>58</v>
      </c>
      <c r="B277" s="64">
        <f t="shared" si="3"/>
        <v>82860</v>
      </c>
      <c r="C277" s="55">
        <v>74014</v>
      </c>
      <c r="D277" s="55">
        <v>8846</v>
      </c>
      <c r="E277" s="55">
        <v>0</v>
      </c>
      <c r="F277" s="55">
        <v>0</v>
      </c>
      <c r="G277" s="55"/>
      <c r="H277" s="57">
        <v>0</v>
      </c>
      <c r="I277" s="57">
        <v>0</v>
      </c>
    </row>
    <row r="278" spans="1:9" x14ac:dyDescent="0.25">
      <c r="A278" s="120" t="s">
        <v>59</v>
      </c>
      <c r="B278" s="64">
        <f t="shared" ref="B278:B341" si="4">SUM(C278:I278)</f>
        <v>272346</v>
      </c>
      <c r="C278" s="55">
        <v>240692</v>
      </c>
      <c r="D278" s="55">
        <v>31654</v>
      </c>
      <c r="E278" s="55">
        <v>0</v>
      </c>
      <c r="F278" s="55">
        <v>0</v>
      </c>
      <c r="G278" s="55">
        <v>0</v>
      </c>
      <c r="H278" s="57">
        <v>0</v>
      </c>
      <c r="I278" s="57">
        <v>0</v>
      </c>
    </row>
    <row r="279" spans="1:9" ht="30" x14ac:dyDescent="0.25">
      <c r="A279" s="120" t="s">
        <v>165</v>
      </c>
      <c r="B279" s="64">
        <f t="shared" si="4"/>
        <v>112305</v>
      </c>
      <c r="C279" s="55">
        <v>90770</v>
      </c>
      <c r="D279" s="55">
        <f>21051+484</f>
        <v>21535</v>
      </c>
      <c r="E279" s="55">
        <v>0</v>
      </c>
      <c r="F279" s="55">
        <v>0</v>
      </c>
      <c r="G279" s="55"/>
      <c r="H279" s="57">
        <v>0</v>
      </c>
      <c r="I279" s="57">
        <v>0</v>
      </c>
    </row>
    <row r="280" spans="1:9" x14ac:dyDescent="0.25">
      <c r="A280" s="120" t="s">
        <v>199</v>
      </c>
      <c r="B280" s="64">
        <f t="shared" si="4"/>
        <v>948225</v>
      </c>
      <c r="C280" s="55">
        <f>757014+4424</f>
        <v>761438</v>
      </c>
      <c r="D280" s="55">
        <f>167658-4335</f>
        <v>163323</v>
      </c>
      <c r="E280" s="55">
        <v>0</v>
      </c>
      <c r="F280" s="55">
        <v>0</v>
      </c>
      <c r="G280" s="55">
        <f>19129+4335</f>
        <v>23464</v>
      </c>
      <c r="H280" s="57">
        <v>0</v>
      </c>
      <c r="I280" s="57">
        <v>0</v>
      </c>
    </row>
    <row r="281" spans="1:9" x14ac:dyDescent="0.25">
      <c r="A281" s="120" t="s">
        <v>60</v>
      </c>
      <c r="B281" s="64">
        <f t="shared" si="4"/>
        <v>403178</v>
      </c>
      <c r="C281" s="55">
        <f>361071+1586</f>
        <v>362657</v>
      </c>
      <c r="D281" s="55">
        <f>39421-1237</f>
        <v>38184</v>
      </c>
      <c r="E281" s="55">
        <v>0</v>
      </c>
      <c r="F281" s="55">
        <v>0</v>
      </c>
      <c r="G281" s="55">
        <f>1100+1237</f>
        <v>2337</v>
      </c>
      <c r="H281" s="57">
        <v>0</v>
      </c>
      <c r="I281" s="57">
        <v>0</v>
      </c>
    </row>
    <row r="282" spans="1:9" x14ac:dyDescent="0.25">
      <c r="A282" s="120" t="s">
        <v>133</v>
      </c>
      <c r="B282" s="64">
        <f t="shared" si="4"/>
        <v>80853</v>
      </c>
      <c r="C282" s="55">
        <v>60218</v>
      </c>
      <c r="D282" s="55">
        <f>20635</f>
        <v>20635</v>
      </c>
      <c r="E282" s="55">
        <v>0</v>
      </c>
      <c r="F282" s="55">
        <v>0</v>
      </c>
      <c r="G282" s="55"/>
      <c r="H282" s="57">
        <v>0</v>
      </c>
      <c r="I282" s="57">
        <v>0</v>
      </c>
    </row>
    <row r="283" spans="1:9" x14ac:dyDescent="0.25">
      <c r="A283" s="120" t="s">
        <v>61</v>
      </c>
      <c r="B283" s="64">
        <f t="shared" si="4"/>
        <v>961410</v>
      </c>
      <c r="C283" s="55">
        <f>809461+3965+317</f>
        <v>813743</v>
      </c>
      <c r="D283" s="55">
        <f>136837-963+1829</f>
        <v>137703</v>
      </c>
      <c r="E283" s="55">
        <v>0</v>
      </c>
      <c r="F283" s="55">
        <v>0</v>
      </c>
      <c r="G283" s="55">
        <f>7716+2248</f>
        <v>9964</v>
      </c>
      <c r="H283" s="57">
        <v>0</v>
      </c>
      <c r="I283" s="57">
        <v>0</v>
      </c>
    </row>
    <row r="284" spans="1:9" ht="30" x14ac:dyDescent="0.25">
      <c r="A284" s="120" t="s">
        <v>138</v>
      </c>
      <c r="B284" s="64">
        <f t="shared" si="4"/>
        <v>907523</v>
      </c>
      <c r="C284" s="55">
        <f>709641+2700</f>
        <v>712341</v>
      </c>
      <c r="D284" s="55">
        <f>161596-8097</f>
        <v>153499</v>
      </c>
      <c r="E284" s="55">
        <v>0</v>
      </c>
      <c r="F284" s="55">
        <v>0</v>
      </c>
      <c r="G284" s="55">
        <f>17726+8097</f>
        <v>25823</v>
      </c>
      <c r="H284" s="57">
        <v>15860</v>
      </c>
      <c r="I284" s="57">
        <v>0</v>
      </c>
    </row>
    <row r="285" spans="1:9" x14ac:dyDescent="0.25">
      <c r="A285" s="120" t="s">
        <v>492</v>
      </c>
      <c r="B285" s="64">
        <f t="shared" si="4"/>
        <v>422183</v>
      </c>
      <c r="C285" s="55">
        <f>344371+706</f>
        <v>345077</v>
      </c>
      <c r="D285" s="55">
        <f>58246-1590</f>
        <v>56656</v>
      </c>
      <c r="E285" s="55">
        <v>0</v>
      </c>
      <c r="F285" s="55">
        <v>0</v>
      </c>
      <c r="G285" s="55">
        <f>18860+1590</f>
        <v>20450</v>
      </c>
      <c r="H285" s="57">
        <v>0</v>
      </c>
      <c r="I285" s="57">
        <v>0</v>
      </c>
    </row>
    <row r="286" spans="1:9" ht="30" x14ac:dyDescent="0.25">
      <c r="A286" s="120" t="s">
        <v>167</v>
      </c>
      <c r="B286" s="64">
        <f t="shared" si="4"/>
        <v>52441</v>
      </c>
      <c r="C286" s="55">
        <v>37198</v>
      </c>
      <c r="D286" s="55">
        <v>15243</v>
      </c>
      <c r="E286" s="55">
        <v>0</v>
      </c>
      <c r="F286" s="55">
        <v>0</v>
      </c>
      <c r="G286" s="55"/>
      <c r="H286" s="57">
        <v>0</v>
      </c>
      <c r="I286" s="57">
        <v>0</v>
      </c>
    </row>
    <row r="287" spans="1:9" x14ac:dyDescent="0.25">
      <c r="A287" s="120" t="s">
        <v>62</v>
      </c>
      <c r="B287" s="64">
        <f t="shared" si="4"/>
        <v>610024</v>
      </c>
      <c r="C287" s="55">
        <f>531750+1883</f>
        <v>533633</v>
      </c>
      <c r="D287" s="55">
        <f>74881-1824</f>
        <v>73057</v>
      </c>
      <c r="E287" s="55">
        <v>0</v>
      </c>
      <c r="F287" s="55">
        <v>0</v>
      </c>
      <c r="G287" s="55">
        <f>1510+1824</f>
        <v>3334</v>
      </c>
      <c r="H287" s="57">
        <v>0</v>
      </c>
      <c r="I287" s="57">
        <v>0</v>
      </c>
    </row>
    <row r="288" spans="1:9" ht="30" x14ac:dyDescent="0.25">
      <c r="A288" s="120" t="s">
        <v>166</v>
      </c>
      <c r="B288" s="64">
        <f t="shared" si="4"/>
        <v>57205</v>
      </c>
      <c r="C288" s="55">
        <v>46269</v>
      </c>
      <c r="D288" s="55">
        <f>11420-484</f>
        <v>10936</v>
      </c>
      <c r="E288" s="55">
        <v>0</v>
      </c>
      <c r="F288" s="55">
        <v>0</v>
      </c>
      <c r="G288" s="55"/>
      <c r="H288" s="57">
        <v>0</v>
      </c>
      <c r="I288" s="57">
        <v>0</v>
      </c>
    </row>
    <row r="289" spans="1:9" x14ac:dyDescent="0.25">
      <c r="A289" s="120" t="s">
        <v>63</v>
      </c>
      <c r="B289" s="64">
        <f t="shared" si="4"/>
        <v>499347</v>
      </c>
      <c r="C289" s="55">
        <v>448573</v>
      </c>
      <c r="D289" s="55">
        <f>48934-957</f>
        <v>47977</v>
      </c>
      <c r="E289" s="55">
        <v>0</v>
      </c>
      <c r="F289" s="55">
        <v>0</v>
      </c>
      <c r="G289" s="55">
        <f>1840+957</f>
        <v>2797</v>
      </c>
      <c r="H289" s="57">
        <v>0</v>
      </c>
      <c r="I289" s="57">
        <v>0</v>
      </c>
    </row>
    <row r="290" spans="1:9" x14ac:dyDescent="0.25">
      <c r="A290" s="120" t="s">
        <v>64</v>
      </c>
      <c r="B290" s="64">
        <f t="shared" si="4"/>
        <v>155660</v>
      </c>
      <c r="C290" s="55">
        <v>130514</v>
      </c>
      <c r="D290" s="55">
        <f>25146-84</f>
        <v>25062</v>
      </c>
      <c r="E290" s="55">
        <v>0</v>
      </c>
      <c r="F290" s="55">
        <v>0</v>
      </c>
      <c r="G290" s="55">
        <v>84</v>
      </c>
      <c r="H290" s="57">
        <v>0</v>
      </c>
      <c r="I290" s="57">
        <v>0</v>
      </c>
    </row>
    <row r="291" spans="1:9" x14ac:dyDescent="0.25">
      <c r="A291" s="120" t="s">
        <v>65</v>
      </c>
      <c r="B291" s="64">
        <f>SUM(C291:I291)</f>
        <v>369465</v>
      </c>
      <c r="C291" s="55">
        <v>317069</v>
      </c>
      <c r="D291" s="55">
        <f>52086-2423</f>
        <v>49663</v>
      </c>
      <c r="E291" s="55">
        <v>0</v>
      </c>
      <c r="F291" s="55">
        <v>0</v>
      </c>
      <c r="G291" s="55">
        <f>310+2423</f>
        <v>2733</v>
      </c>
      <c r="H291" s="57">
        <v>0</v>
      </c>
      <c r="I291" s="57">
        <v>0</v>
      </c>
    </row>
    <row r="292" spans="1:9" x14ac:dyDescent="0.25">
      <c r="A292" s="120" t="s">
        <v>134</v>
      </c>
      <c r="B292" s="64">
        <f t="shared" si="4"/>
        <v>179478</v>
      </c>
      <c r="C292" s="55">
        <v>81766</v>
      </c>
      <c r="D292" s="55">
        <v>97712</v>
      </c>
      <c r="E292" s="55">
        <v>0</v>
      </c>
      <c r="F292" s="55">
        <v>0</v>
      </c>
      <c r="G292" s="55"/>
      <c r="H292" s="57">
        <v>0</v>
      </c>
      <c r="I292" s="57">
        <v>0</v>
      </c>
    </row>
    <row r="293" spans="1:9" x14ac:dyDescent="0.25">
      <c r="A293" s="120" t="s">
        <v>66</v>
      </c>
      <c r="B293" s="64">
        <f t="shared" si="4"/>
        <v>107673</v>
      </c>
      <c r="C293" s="55">
        <v>87118</v>
      </c>
      <c r="D293" s="55">
        <v>20555</v>
      </c>
      <c r="E293" s="55">
        <v>0</v>
      </c>
      <c r="F293" s="55">
        <v>0</v>
      </c>
      <c r="G293" s="55"/>
      <c r="H293" s="57">
        <v>0</v>
      </c>
      <c r="I293" s="57">
        <v>0</v>
      </c>
    </row>
    <row r="294" spans="1:9" ht="30" x14ac:dyDescent="0.25">
      <c r="A294" s="120" t="s">
        <v>67</v>
      </c>
      <c r="B294" s="64">
        <f t="shared" si="4"/>
        <v>137378</v>
      </c>
      <c r="C294" s="55">
        <f>127013-2525</f>
        <v>124488</v>
      </c>
      <c r="D294" s="55">
        <f>9323+2525</f>
        <v>11848</v>
      </c>
      <c r="E294" s="55">
        <v>0</v>
      </c>
      <c r="F294" s="55">
        <v>0</v>
      </c>
      <c r="G294" s="55">
        <f>142+900</f>
        <v>1042</v>
      </c>
      <c r="H294" s="57">
        <v>0</v>
      </c>
      <c r="I294" s="57">
        <v>0</v>
      </c>
    </row>
    <row r="295" spans="1:9" ht="30" x14ac:dyDescent="0.25">
      <c r="A295" s="120" t="s">
        <v>68</v>
      </c>
      <c r="B295" s="64">
        <f t="shared" si="4"/>
        <v>38926</v>
      </c>
      <c r="C295" s="55">
        <f>3105+2857</f>
        <v>5962</v>
      </c>
      <c r="D295" s="55">
        <f>29521-2857</f>
        <v>26664</v>
      </c>
      <c r="E295" s="55">
        <v>0</v>
      </c>
      <c r="F295" s="55">
        <v>0</v>
      </c>
      <c r="G295" s="55"/>
      <c r="H295" s="55">
        <v>6300</v>
      </c>
      <c r="I295" s="57">
        <v>0</v>
      </c>
    </row>
    <row r="296" spans="1:9" ht="30" x14ac:dyDescent="0.25">
      <c r="A296" s="120" t="s">
        <v>69</v>
      </c>
      <c r="B296" s="64">
        <f t="shared" si="4"/>
        <v>7743</v>
      </c>
      <c r="C296" s="55">
        <v>0</v>
      </c>
      <c r="D296" s="55">
        <v>0</v>
      </c>
      <c r="E296" s="55">
        <v>0</v>
      </c>
      <c r="F296" s="55">
        <v>0</v>
      </c>
      <c r="G296" s="55"/>
      <c r="H296" s="57">
        <v>7743</v>
      </c>
      <c r="I296" s="57">
        <v>0</v>
      </c>
    </row>
    <row r="297" spans="1:9" ht="30" x14ac:dyDescent="0.25">
      <c r="A297" s="123" t="s">
        <v>195</v>
      </c>
      <c r="B297" s="64">
        <f t="shared" si="4"/>
        <v>371114</v>
      </c>
      <c r="C297" s="55">
        <v>0</v>
      </c>
      <c r="D297" s="55">
        <v>4000</v>
      </c>
      <c r="E297" s="55">
        <v>0</v>
      </c>
      <c r="F297" s="55">
        <v>0</v>
      </c>
      <c r="G297" s="55"/>
      <c r="H297" s="57">
        <v>0</v>
      </c>
      <c r="I297" s="57">
        <f>417114-50000</f>
        <v>367114</v>
      </c>
    </row>
    <row r="298" spans="1:9" ht="30.75" customHeight="1" x14ac:dyDescent="0.25">
      <c r="A298" s="123" t="s">
        <v>432</v>
      </c>
      <c r="B298" s="64">
        <f t="shared" si="4"/>
        <v>93145</v>
      </c>
      <c r="C298" s="55">
        <f>62417+13635</f>
        <v>76052</v>
      </c>
      <c r="D298" s="55">
        <f>15253-5520</f>
        <v>9733</v>
      </c>
      <c r="E298" s="55">
        <f>1840+5520</f>
        <v>7360</v>
      </c>
      <c r="F298" s="55"/>
      <c r="G298" s="55"/>
      <c r="H298" s="57"/>
      <c r="I298" s="57"/>
    </row>
    <row r="299" spans="1:9" x14ac:dyDescent="0.25">
      <c r="A299" s="123" t="s">
        <v>130</v>
      </c>
      <c r="B299" s="64">
        <f t="shared" si="4"/>
        <v>15936</v>
      </c>
      <c r="C299" s="55">
        <f>8500+7189</f>
        <v>15689</v>
      </c>
      <c r="D299" s="55">
        <v>247</v>
      </c>
      <c r="E299" s="55"/>
      <c r="F299" s="55"/>
      <c r="G299" s="55"/>
      <c r="H299" s="57"/>
      <c r="I299" s="57"/>
    </row>
    <row r="300" spans="1:9" ht="30" x14ac:dyDescent="0.25">
      <c r="A300" s="124" t="s">
        <v>410</v>
      </c>
      <c r="B300" s="64">
        <f t="shared" si="4"/>
        <v>205257</v>
      </c>
      <c r="C300" s="55">
        <v>180484</v>
      </c>
      <c r="D300" s="55">
        <v>24773</v>
      </c>
      <c r="E300" s="55"/>
      <c r="F300" s="55"/>
      <c r="G300" s="55"/>
      <c r="H300" s="57"/>
      <c r="I300" s="57"/>
    </row>
    <row r="301" spans="1:9" ht="30" x14ac:dyDescent="0.25">
      <c r="A301" s="124" t="s">
        <v>411</v>
      </c>
      <c r="B301" s="64">
        <f t="shared" si="4"/>
        <v>200413</v>
      </c>
      <c r="C301" s="55">
        <v>161084</v>
      </c>
      <c r="D301" s="55">
        <v>36801</v>
      </c>
      <c r="E301" s="55"/>
      <c r="F301" s="55"/>
      <c r="G301" s="55">
        <v>2528</v>
      </c>
      <c r="H301" s="57"/>
      <c r="I301" s="57"/>
    </row>
    <row r="302" spans="1:9" ht="45" x14ac:dyDescent="0.25">
      <c r="A302" s="124" t="s">
        <v>434</v>
      </c>
      <c r="B302" s="64">
        <f t="shared" si="4"/>
        <v>63520</v>
      </c>
      <c r="C302" s="58">
        <v>43861</v>
      </c>
      <c r="D302" s="58">
        <v>19659</v>
      </c>
      <c r="E302" s="58"/>
      <c r="F302" s="58"/>
      <c r="G302" s="58"/>
      <c r="H302" s="59"/>
      <c r="I302" s="59"/>
    </row>
    <row r="303" spans="1:9" ht="45" x14ac:dyDescent="0.25">
      <c r="A303" s="124" t="s">
        <v>435</v>
      </c>
      <c r="B303" s="64">
        <f t="shared" si="4"/>
        <v>5360</v>
      </c>
      <c r="C303" s="55">
        <f>5360</f>
        <v>5360</v>
      </c>
      <c r="D303" s="55"/>
      <c r="E303" s="55"/>
      <c r="F303" s="55"/>
      <c r="G303" s="55"/>
      <c r="H303" s="57"/>
      <c r="I303" s="57"/>
    </row>
    <row r="304" spans="1:9" ht="45" x14ac:dyDescent="0.25">
      <c r="A304" s="124" t="s">
        <v>436</v>
      </c>
      <c r="B304" s="64">
        <f t="shared" si="4"/>
        <v>37780</v>
      </c>
      <c r="C304" s="55">
        <v>37780</v>
      </c>
      <c r="D304" s="55"/>
      <c r="E304" s="55"/>
      <c r="F304" s="55"/>
      <c r="G304" s="55"/>
      <c r="H304" s="57"/>
      <c r="I304" s="57"/>
    </row>
    <row r="305" spans="1:9" x14ac:dyDescent="0.25">
      <c r="A305" s="124" t="s">
        <v>371</v>
      </c>
      <c r="B305" s="64">
        <f t="shared" si="4"/>
        <v>28229</v>
      </c>
      <c r="C305" s="55">
        <v>1200</v>
      </c>
      <c r="D305" s="55">
        <f>15355+11668</f>
        <v>27023</v>
      </c>
      <c r="E305" s="55"/>
      <c r="F305" s="55"/>
      <c r="G305" s="55"/>
      <c r="H305" s="57"/>
      <c r="I305" s="57">
        <v>6</v>
      </c>
    </row>
    <row r="306" spans="1:9" x14ac:dyDescent="0.25">
      <c r="A306" s="124" t="s">
        <v>408</v>
      </c>
      <c r="B306" s="64">
        <f t="shared" si="4"/>
        <v>333396</v>
      </c>
      <c r="C306" s="58">
        <f>266000+889</f>
        <v>266889</v>
      </c>
      <c r="D306" s="58">
        <v>51410</v>
      </c>
      <c r="E306" s="58"/>
      <c r="F306" s="58"/>
      <c r="G306" s="58">
        <v>15097</v>
      </c>
      <c r="H306" s="59"/>
      <c r="I306" s="59"/>
    </row>
    <row r="307" spans="1:9" x14ac:dyDescent="0.25">
      <c r="A307" s="124" t="s">
        <v>407</v>
      </c>
      <c r="B307" s="64">
        <f t="shared" si="4"/>
        <v>524506</v>
      </c>
      <c r="C307" s="55">
        <f>456455+1332</f>
        <v>457787</v>
      </c>
      <c r="D307" s="55">
        <v>66719</v>
      </c>
      <c r="E307" s="55"/>
      <c r="F307" s="55"/>
      <c r="G307" s="55"/>
      <c r="H307" s="57"/>
      <c r="I307" s="57"/>
    </row>
    <row r="308" spans="1:9" x14ac:dyDescent="0.25">
      <c r="A308" s="124" t="s">
        <v>406</v>
      </c>
      <c r="B308" s="64">
        <f t="shared" si="4"/>
        <v>277847</v>
      </c>
      <c r="C308" s="55">
        <f>234610+503</f>
        <v>235113</v>
      </c>
      <c r="D308" s="55">
        <v>42734</v>
      </c>
      <c r="E308" s="55"/>
      <c r="F308" s="55"/>
      <c r="G308" s="55"/>
      <c r="H308" s="57"/>
      <c r="I308" s="57"/>
    </row>
    <row r="309" spans="1:9" x14ac:dyDescent="0.25">
      <c r="A309" s="124" t="s">
        <v>405</v>
      </c>
      <c r="B309" s="64">
        <f t="shared" si="4"/>
        <v>619964</v>
      </c>
      <c r="C309" s="55">
        <f>504475+2117</f>
        <v>506592</v>
      </c>
      <c r="D309" s="55">
        <v>87118</v>
      </c>
      <c r="E309" s="55"/>
      <c r="F309" s="55"/>
      <c r="G309" s="55">
        <v>26254</v>
      </c>
      <c r="H309" s="57"/>
      <c r="I309" s="57"/>
    </row>
    <row r="310" spans="1:9" ht="30" x14ac:dyDescent="0.25">
      <c r="A310" s="124" t="s">
        <v>404</v>
      </c>
      <c r="B310" s="64">
        <f t="shared" si="4"/>
        <v>44210</v>
      </c>
      <c r="C310" s="55">
        <v>25634</v>
      </c>
      <c r="D310" s="55">
        <v>18576</v>
      </c>
      <c r="E310" s="55"/>
      <c r="F310" s="55"/>
      <c r="G310" s="55"/>
      <c r="H310" s="57"/>
      <c r="I310" s="57"/>
    </row>
    <row r="311" spans="1:9" ht="30" x14ac:dyDescent="0.25">
      <c r="A311" s="124" t="s">
        <v>403</v>
      </c>
      <c r="B311" s="64">
        <f t="shared" si="4"/>
        <v>60388</v>
      </c>
      <c r="C311" s="55">
        <v>59834</v>
      </c>
      <c r="D311" s="55"/>
      <c r="E311" s="55"/>
      <c r="F311" s="55"/>
      <c r="G311" s="55"/>
      <c r="H311" s="57"/>
      <c r="I311" s="57">
        <v>554</v>
      </c>
    </row>
    <row r="312" spans="1:9" x14ac:dyDescent="0.25">
      <c r="A312" s="124" t="s">
        <v>402</v>
      </c>
      <c r="B312" s="64">
        <f t="shared" si="4"/>
        <v>34072</v>
      </c>
      <c r="C312" s="55">
        <v>29367</v>
      </c>
      <c r="D312" s="55">
        <v>2289</v>
      </c>
      <c r="E312" s="55"/>
      <c r="F312" s="55"/>
      <c r="G312" s="55">
        <v>2416</v>
      </c>
      <c r="H312" s="57"/>
      <c r="I312" s="57"/>
    </row>
    <row r="313" spans="1:9" ht="30" x14ac:dyDescent="0.25">
      <c r="A313" s="124" t="s">
        <v>401</v>
      </c>
      <c r="B313" s="64">
        <f t="shared" si="4"/>
        <v>119039</v>
      </c>
      <c r="C313" s="55">
        <v>118660</v>
      </c>
      <c r="D313" s="55"/>
      <c r="E313" s="55"/>
      <c r="F313" s="55"/>
      <c r="G313" s="55"/>
      <c r="H313" s="57"/>
      <c r="I313" s="57">
        <v>379</v>
      </c>
    </row>
    <row r="314" spans="1:9" x14ac:dyDescent="0.25">
      <c r="A314" s="124" t="s">
        <v>400</v>
      </c>
      <c r="B314" s="64">
        <f t="shared" si="4"/>
        <v>11500</v>
      </c>
      <c r="C314" s="55"/>
      <c r="D314" s="55">
        <v>11500</v>
      </c>
      <c r="E314" s="55"/>
      <c r="F314" s="55"/>
      <c r="G314" s="55"/>
      <c r="H314" s="57"/>
      <c r="I314" s="57"/>
    </row>
    <row r="315" spans="1:9" x14ac:dyDescent="0.25">
      <c r="A315" s="124" t="s">
        <v>399</v>
      </c>
      <c r="B315" s="64">
        <f t="shared" si="4"/>
        <v>19522</v>
      </c>
      <c r="C315" s="55">
        <v>18582</v>
      </c>
      <c r="D315" s="55">
        <v>940</v>
      </c>
      <c r="E315" s="55"/>
      <c r="F315" s="55"/>
      <c r="G315" s="55"/>
      <c r="H315" s="57"/>
      <c r="I315" s="57"/>
    </row>
    <row r="316" spans="1:9" x14ac:dyDescent="0.25">
      <c r="A316" s="124" t="s">
        <v>398</v>
      </c>
      <c r="B316" s="64">
        <f t="shared" si="4"/>
        <v>16331</v>
      </c>
      <c r="C316" s="55">
        <v>11347</v>
      </c>
      <c r="D316" s="55">
        <v>4984</v>
      </c>
      <c r="E316" s="55"/>
      <c r="F316" s="55"/>
      <c r="G316" s="55"/>
      <c r="H316" s="57"/>
      <c r="I316" s="57"/>
    </row>
    <row r="317" spans="1:9" x14ac:dyDescent="0.25">
      <c r="A317" s="124" t="s">
        <v>397</v>
      </c>
      <c r="B317" s="64">
        <f t="shared" si="4"/>
        <v>2107</v>
      </c>
      <c r="C317" s="55"/>
      <c r="D317" s="55">
        <v>2107</v>
      </c>
      <c r="E317" s="55"/>
      <c r="F317" s="55"/>
      <c r="G317" s="55"/>
      <c r="H317" s="57"/>
      <c r="I317" s="57"/>
    </row>
    <row r="318" spans="1:9" ht="30" x14ac:dyDescent="0.25">
      <c r="A318" s="124" t="s">
        <v>396</v>
      </c>
      <c r="B318" s="64">
        <f t="shared" si="4"/>
        <v>11339</v>
      </c>
      <c r="C318" s="58">
        <v>5286</v>
      </c>
      <c r="D318" s="58">
        <v>6053</v>
      </c>
      <c r="E318" s="58"/>
      <c r="F318" s="58"/>
      <c r="G318" s="58"/>
      <c r="H318" s="59"/>
      <c r="I318" s="59"/>
    </row>
    <row r="319" spans="1:9" ht="30" x14ac:dyDescent="0.25">
      <c r="A319" s="124" t="s">
        <v>395</v>
      </c>
      <c r="B319" s="64">
        <f t="shared" si="4"/>
        <v>26702</v>
      </c>
      <c r="C319" s="55">
        <v>10927</v>
      </c>
      <c r="D319" s="55">
        <v>15775</v>
      </c>
      <c r="E319" s="55"/>
      <c r="F319" s="55"/>
      <c r="G319" s="55"/>
      <c r="H319" s="57"/>
      <c r="I319" s="57"/>
    </row>
    <row r="320" spans="1:9" x14ac:dyDescent="0.25">
      <c r="A320" s="124" t="s">
        <v>394</v>
      </c>
      <c r="B320" s="64">
        <f t="shared" si="4"/>
        <v>14909</v>
      </c>
      <c r="C320" s="55">
        <v>10886</v>
      </c>
      <c r="D320" s="55">
        <v>4023</v>
      </c>
      <c r="E320" s="55"/>
      <c r="F320" s="55"/>
      <c r="G320" s="55"/>
      <c r="H320" s="57"/>
      <c r="I320" s="57"/>
    </row>
    <row r="321" spans="1:9" ht="30" x14ac:dyDescent="0.25">
      <c r="A321" s="124" t="s">
        <v>393</v>
      </c>
      <c r="B321" s="64">
        <f t="shared" si="4"/>
        <v>54992</v>
      </c>
      <c r="C321" s="58">
        <v>48227</v>
      </c>
      <c r="D321" s="58">
        <v>6765</v>
      </c>
      <c r="E321" s="58"/>
      <c r="F321" s="58"/>
      <c r="G321" s="58"/>
      <c r="H321" s="59"/>
      <c r="I321" s="59"/>
    </row>
    <row r="322" spans="1:9" ht="30" x14ac:dyDescent="0.25">
      <c r="A322" s="124" t="s">
        <v>392</v>
      </c>
      <c r="B322" s="64">
        <f t="shared" si="4"/>
        <v>38134</v>
      </c>
      <c r="C322" s="55">
        <v>15505</v>
      </c>
      <c r="D322" s="55">
        <v>20129</v>
      </c>
      <c r="E322" s="55"/>
      <c r="F322" s="55"/>
      <c r="G322" s="55">
        <v>2500</v>
      </c>
      <c r="H322" s="57"/>
      <c r="I322" s="57"/>
    </row>
    <row r="323" spans="1:9" ht="30" x14ac:dyDescent="0.25">
      <c r="A323" s="124" t="s">
        <v>391</v>
      </c>
      <c r="B323" s="64">
        <f t="shared" si="4"/>
        <v>1080</v>
      </c>
      <c r="C323" s="55"/>
      <c r="D323" s="55">
        <v>1080</v>
      </c>
      <c r="E323" s="55"/>
      <c r="F323" s="55"/>
      <c r="G323" s="55"/>
      <c r="H323" s="57"/>
      <c r="I323" s="57"/>
    </row>
    <row r="324" spans="1:9" ht="30" x14ac:dyDescent="0.25">
      <c r="A324" s="124" t="s">
        <v>390</v>
      </c>
      <c r="B324" s="64">
        <f t="shared" si="4"/>
        <v>820</v>
      </c>
      <c r="C324" s="55"/>
      <c r="D324" s="55">
        <v>820</v>
      </c>
      <c r="E324" s="55"/>
      <c r="F324" s="55"/>
      <c r="G324" s="55"/>
      <c r="H324" s="57"/>
      <c r="I324" s="57"/>
    </row>
    <row r="325" spans="1:9" x14ac:dyDescent="0.25">
      <c r="A325" s="126" t="s">
        <v>412</v>
      </c>
      <c r="B325" s="64">
        <f t="shared" si="4"/>
        <v>419101</v>
      </c>
      <c r="C325" s="68">
        <f>371864+1471</f>
        <v>373335</v>
      </c>
      <c r="D325" s="68">
        <v>40121</v>
      </c>
      <c r="E325" s="67"/>
      <c r="F325" s="67"/>
      <c r="G325" s="68">
        <v>5645</v>
      </c>
      <c r="H325" s="67"/>
      <c r="I325" s="67"/>
    </row>
    <row r="326" spans="1:9" x14ac:dyDescent="0.25">
      <c r="A326" s="126" t="s">
        <v>508</v>
      </c>
      <c r="B326" s="64">
        <f t="shared" si="4"/>
        <v>758056</v>
      </c>
      <c r="C326" s="68">
        <f>579843+2475</f>
        <v>582318</v>
      </c>
      <c r="D326" s="68">
        <v>110066</v>
      </c>
      <c r="E326" s="67"/>
      <c r="F326" s="67"/>
      <c r="G326" s="91">
        <v>65672</v>
      </c>
      <c r="H326" s="67"/>
      <c r="I326" s="67"/>
    </row>
    <row r="327" spans="1:9" x14ac:dyDescent="0.25">
      <c r="A327" s="126" t="s">
        <v>413</v>
      </c>
      <c r="B327" s="64">
        <f t="shared" si="4"/>
        <v>90132</v>
      </c>
      <c r="C327" s="68">
        <v>68907</v>
      </c>
      <c r="D327" s="68">
        <v>21225</v>
      </c>
      <c r="E327" s="67"/>
      <c r="F327" s="67"/>
      <c r="G327" s="67"/>
      <c r="H327" s="67"/>
      <c r="I327" s="67"/>
    </row>
    <row r="328" spans="1:9" ht="30" x14ac:dyDescent="0.25">
      <c r="A328" s="126" t="s">
        <v>414</v>
      </c>
      <c r="B328" s="64">
        <f t="shared" si="4"/>
        <v>22686</v>
      </c>
      <c r="C328" s="68">
        <v>19126</v>
      </c>
      <c r="D328" s="68">
        <v>3560</v>
      </c>
      <c r="E328" s="67"/>
      <c r="F328" s="67"/>
      <c r="G328" s="68">
        <v>0</v>
      </c>
      <c r="H328" s="67"/>
      <c r="I328" s="67"/>
    </row>
    <row r="329" spans="1:9" ht="30" x14ac:dyDescent="0.25">
      <c r="A329" s="126" t="s">
        <v>415</v>
      </c>
      <c r="B329" s="64">
        <f t="shared" si="4"/>
        <v>57744</v>
      </c>
      <c r="C329" s="68">
        <v>22390</v>
      </c>
      <c r="D329" s="68">
        <v>35354</v>
      </c>
      <c r="E329" s="67"/>
      <c r="F329" s="67"/>
      <c r="G329" s="67"/>
      <c r="H329" s="67"/>
      <c r="I329" s="67"/>
    </row>
    <row r="330" spans="1:9" ht="30" x14ac:dyDescent="0.25">
      <c r="A330" s="126" t="s">
        <v>69</v>
      </c>
      <c r="B330" s="64">
        <f t="shared" si="4"/>
        <v>1200</v>
      </c>
      <c r="C330" s="67"/>
      <c r="D330" s="68">
        <v>1200</v>
      </c>
      <c r="E330" s="67"/>
      <c r="F330" s="67"/>
      <c r="G330" s="67"/>
      <c r="H330" s="67"/>
      <c r="I330" s="67"/>
    </row>
    <row r="331" spans="1:9" x14ac:dyDescent="0.25">
      <c r="A331" s="126" t="s">
        <v>416</v>
      </c>
      <c r="B331" s="64">
        <f t="shared" si="4"/>
        <v>45246</v>
      </c>
      <c r="C331" s="68">
        <v>37462</v>
      </c>
      <c r="D331" s="68">
        <f>2357+2550</f>
        <v>4907</v>
      </c>
      <c r="E331" s="67"/>
      <c r="F331" s="67"/>
      <c r="G331" s="68">
        <f>5000-2550</f>
        <v>2450</v>
      </c>
      <c r="H331" s="67"/>
      <c r="I331" s="68">
        <v>427</v>
      </c>
    </row>
    <row r="332" spans="1:9" ht="45" x14ac:dyDescent="0.25">
      <c r="A332" s="123" t="s">
        <v>451</v>
      </c>
      <c r="B332" s="64">
        <f t="shared" si="4"/>
        <v>5100</v>
      </c>
      <c r="C332" s="85">
        <v>3500</v>
      </c>
      <c r="D332" s="67">
        <v>1600</v>
      </c>
      <c r="E332" s="67"/>
      <c r="F332" s="67"/>
      <c r="G332" s="67"/>
      <c r="H332" s="67"/>
      <c r="I332" s="67"/>
    </row>
    <row r="333" spans="1:9" ht="54" customHeight="1" x14ac:dyDescent="0.25">
      <c r="A333" s="126" t="s">
        <v>158</v>
      </c>
      <c r="B333" s="64">
        <f t="shared" si="4"/>
        <v>4755</v>
      </c>
      <c r="C333" s="68">
        <v>3305</v>
      </c>
      <c r="D333" s="68">
        <v>1450</v>
      </c>
      <c r="E333" s="67"/>
      <c r="F333" s="67"/>
      <c r="G333" s="67"/>
      <c r="H333" s="67"/>
      <c r="I333" s="67"/>
    </row>
    <row r="334" spans="1:9" ht="45" x14ac:dyDescent="0.25">
      <c r="A334" s="126" t="s">
        <v>417</v>
      </c>
      <c r="B334" s="64">
        <f t="shared" si="4"/>
        <v>24812</v>
      </c>
      <c r="C334" s="68">
        <v>20617</v>
      </c>
      <c r="D334" s="68">
        <v>515</v>
      </c>
      <c r="E334" s="68">
        <v>3680</v>
      </c>
      <c r="F334" s="67"/>
      <c r="G334" s="67"/>
      <c r="H334" s="67"/>
      <c r="I334" s="67"/>
    </row>
    <row r="335" spans="1:9" ht="30" x14ac:dyDescent="0.25">
      <c r="A335" s="126" t="s">
        <v>409</v>
      </c>
      <c r="B335" s="64">
        <f t="shared" si="4"/>
        <v>9675</v>
      </c>
      <c r="C335" s="67">
        <v>8875</v>
      </c>
      <c r="D335" s="67">
        <v>800</v>
      </c>
      <c r="E335" s="67"/>
      <c r="F335" s="67"/>
      <c r="G335" s="67"/>
      <c r="H335" s="71"/>
      <c r="I335" s="67"/>
    </row>
    <row r="336" spans="1:9" ht="30" x14ac:dyDescent="0.25">
      <c r="A336" s="126" t="s">
        <v>418</v>
      </c>
      <c r="B336" s="64">
        <f t="shared" si="4"/>
        <v>2349</v>
      </c>
      <c r="C336" s="67"/>
      <c r="D336" s="68">
        <v>2349</v>
      </c>
      <c r="E336" s="67"/>
      <c r="F336" s="67"/>
      <c r="G336" s="67"/>
      <c r="H336" s="67"/>
      <c r="I336" s="67"/>
    </row>
    <row r="337" spans="1:9" ht="30" x14ac:dyDescent="0.25">
      <c r="A337" s="126" t="s">
        <v>419</v>
      </c>
      <c r="B337" s="64">
        <f t="shared" si="4"/>
        <v>16372</v>
      </c>
      <c r="C337" s="67"/>
      <c r="D337" s="68">
        <v>16372</v>
      </c>
      <c r="E337" s="67"/>
      <c r="F337" s="67"/>
      <c r="G337" s="67"/>
      <c r="H337" s="67"/>
      <c r="I337" s="67"/>
    </row>
    <row r="338" spans="1:9" x14ac:dyDescent="0.25">
      <c r="A338" s="126" t="s">
        <v>447</v>
      </c>
      <c r="B338" s="64">
        <f t="shared" si="4"/>
        <v>26254</v>
      </c>
      <c r="C338" s="67"/>
      <c r="D338" s="67"/>
      <c r="E338" s="68">
        <v>26254</v>
      </c>
      <c r="F338" s="67"/>
      <c r="G338" s="71"/>
      <c r="H338" s="71"/>
      <c r="I338" s="67"/>
    </row>
    <row r="339" spans="1:9" x14ac:dyDescent="0.25">
      <c r="A339" s="120" t="s">
        <v>426</v>
      </c>
      <c r="B339" s="64">
        <f t="shared" si="4"/>
        <v>100495</v>
      </c>
      <c r="C339" s="55">
        <v>82803</v>
      </c>
      <c r="D339" s="55">
        <v>17485</v>
      </c>
      <c r="E339" s="55"/>
      <c r="F339" s="55"/>
      <c r="G339" s="55">
        <v>207</v>
      </c>
      <c r="H339" s="57"/>
      <c r="I339" s="57"/>
    </row>
    <row r="340" spans="1:9" x14ac:dyDescent="0.25">
      <c r="A340" s="120" t="s">
        <v>425</v>
      </c>
      <c r="B340" s="64">
        <f t="shared" si="4"/>
        <v>375678</v>
      </c>
      <c r="C340" s="55">
        <f>314173+1292</f>
        <v>315465</v>
      </c>
      <c r="D340" s="55">
        <f>51856-3462</f>
        <v>48394</v>
      </c>
      <c r="E340" s="55"/>
      <c r="F340" s="55"/>
      <c r="G340" s="55">
        <f>8357+3462</f>
        <v>11819</v>
      </c>
      <c r="H340" s="57"/>
      <c r="I340" s="57"/>
    </row>
    <row r="341" spans="1:9" ht="30" x14ac:dyDescent="0.25">
      <c r="A341" s="136" t="s">
        <v>409</v>
      </c>
      <c r="B341" s="64">
        <f t="shared" si="4"/>
        <v>7001</v>
      </c>
      <c r="C341" s="94">
        <v>5764</v>
      </c>
      <c r="D341" s="94">
        <v>1237</v>
      </c>
      <c r="E341" s="94"/>
      <c r="F341" s="94"/>
      <c r="G341" s="94"/>
      <c r="H341" s="97"/>
      <c r="I341" s="97"/>
    </row>
    <row r="342" spans="1:9" ht="30" x14ac:dyDescent="0.25">
      <c r="A342" s="138" t="s">
        <v>424</v>
      </c>
      <c r="B342" s="64">
        <f t="shared" ref="B342:B410" si="5">SUM(C342:I342)</f>
        <v>32192</v>
      </c>
      <c r="C342" s="96">
        <v>31702</v>
      </c>
      <c r="D342" s="96">
        <v>490</v>
      </c>
      <c r="E342" s="96"/>
      <c r="F342" s="96"/>
      <c r="G342" s="96"/>
      <c r="H342" s="95"/>
      <c r="I342" s="95"/>
    </row>
    <row r="343" spans="1:9" ht="45" x14ac:dyDescent="0.25">
      <c r="A343" s="123" t="s">
        <v>209</v>
      </c>
      <c r="B343" s="64">
        <f t="shared" si="5"/>
        <v>12262</v>
      </c>
      <c r="C343" s="94">
        <v>12052</v>
      </c>
      <c r="D343" s="94">
        <v>210</v>
      </c>
      <c r="E343" s="93"/>
      <c r="F343" s="93"/>
      <c r="G343" s="93"/>
      <c r="H343" s="93"/>
      <c r="I343" s="93"/>
    </row>
    <row r="344" spans="1:9" x14ac:dyDescent="0.25">
      <c r="A344" s="139" t="s">
        <v>423</v>
      </c>
      <c r="B344" s="64">
        <f t="shared" si="5"/>
        <v>5000</v>
      </c>
      <c r="C344" s="55"/>
      <c r="D344" s="55">
        <v>5000</v>
      </c>
      <c r="E344" s="55"/>
      <c r="F344" s="55"/>
      <c r="G344" s="55"/>
      <c r="H344" s="55"/>
      <c r="I344" s="93"/>
    </row>
    <row r="345" spans="1:9" x14ac:dyDescent="0.25">
      <c r="A345" s="139" t="s">
        <v>422</v>
      </c>
      <c r="B345" s="64">
        <f t="shared" si="5"/>
        <v>152854</v>
      </c>
      <c r="C345" s="55">
        <v>137675</v>
      </c>
      <c r="D345" s="55">
        <v>14286</v>
      </c>
      <c r="E345" s="55"/>
      <c r="F345" s="55"/>
      <c r="G345" s="55">
        <v>893</v>
      </c>
      <c r="H345" s="55"/>
      <c r="I345" s="93"/>
    </row>
    <row r="346" spans="1:9" ht="30" x14ac:dyDescent="0.25">
      <c r="A346" s="123" t="s">
        <v>421</v>
      </c>
      <c r="B346" s="64">
        <f t="shared" si="5"/>
        <v>1668</v>
      </c>
      <c r="C346" s="55"/>
      <c r="D346" s="55">
        <v>570</v>
      </c>
      <c r="E346" s="55"/>
      <c r="F346" s="55"/>
      <c r="G346" s="55">
        <v>1098</v>
      </c>
      <c r="H346" s="55"/>
      <c r="I346" s="93"/>
    </row>
    <row r="347" spans="1:9" x14ac:dyDescent="0.25">
      <c r="A347" s="123" t="s">
        <v>420</v>
      </c>
      <c r="B347" s="64">
        <f t="shared" si="5"/>
        <v>14054</v>
      </c>
      <c r="C347" s="55">
        <v>7443</v>
      </c>
      <c r="D347" s="55">
        <v>6611</v>
      </c>
      <c r="E347" s="55"/>
      <c r="F347" s="55"/>
      <c r="G347" s="55"/>
      <c r="H347" s="55"/>
      <c r="I347" s="93"/>
    </row>
    <row r="348" spans="1:9" ht="30" x14ac:dyDescent="0.25">
      <c r="A348" s="123" t="s">
        <v>69</v>
      </c>
      <c r="B348" s="64">
        <f t="shared" si="5"/>
        <v>250</v>
      </c>
      <c r="C348" s="55"/>
      <c r="D348" s="55"/>
      <c r="E348" s="55"/>
      <c r="F348" s="55"/>
      <c r="G348" s="55"/>
      <c r="H348" s="55">
        <v>250</v>
      </c>
      <c r="I348" s="55"/>
    </row>
    <row r="349" spans="1:9" ht="30" x14ac:dyDescent="0.25">
      <c r="A349" s="120" t="s">
        <v>441</v>
      </c>
      <c r="B349" s="64">
        <f t="shared" si="5"/>
        <v>677</v>
      </c>
      <c r="C349" s="92">
        <v>177</v>
      </c>
      <c r="D349" s="92"/>
      <c r="E349" s="92"/>
      <c r="F349" s="92"/>
      <c r="G349" s="92"/>
      <c r="H349" s="92"/>
      <c r="I349" s="92">
        <v>500</v>
      </c>
    </row>
    <row r="350" spans="1:9" x14ac:dyDescent="0.25">
      <c r="A350" s="120" t="s">
        <v>70</v>
      </c>
      <c r="B350" s="64">
        <f t="shared" si="5"/>
        <v>1373430</v>
      </c>
      <c r="C350" s="55">
        <v>799329</v>
      </c>
      <c r="D350" s="55">
        <v>574101</v>
      </c>
      <c r="E350" s="55">
        <v>0</v>
      </c>
      <c r="F350" s="55">
        <v>0</v>
      </c>
      <c r="G350" s="55"/>
      <c r="H350" s="57">
        <v>0</v>
      </c>
      <c r="I350" s="57">
        <v>0</v>
      </c>
    </row>
    <row r="351" spans="1:9" x14ac:dyDescent="0.25">
      <c r="A351" s="120" t="s">
        <v>280</v>
      </c>
      <c r="B351" s="64">
        <f t="shared" si="5"/>
        <v>235645</v>
      </c>
      <c r="C351" s="55">
        <v>143646</v>
      </c>
      <c r="D351" s="55">
        <v>91499</v>
      </c>
      <c r="E351" s="55">
        <v>0</v>
      </c>
      <c r="F351" s="55">
        <v>0</v>
      </c>
      <c r="G351" s="55">
        <v>500</v>
      </c>
      <c r="H351" s="57">
        <v>0</v>
      </c>
      <c r="I351" s="57">
        <v>0</v>
      </c>
    </row>
    <row r="352" spans="1:9" x14ac:dyDescent="0.25">
      <c r="A352" s="119" t="s">
        <v>282</v>
      </c>
      <c r="B352" s="64">
        <f t="shared" si="5"/>
        <v>195314</v>
      </c>
      <c r="C352" s="55">
        <v>138403</v>
      </c>
      <c r="D352" s="55">
        <v>56311</v>
      </c>
      <c r="E352" s="55">
        <v>0</v>
      </c>
      <c r="F352" s="55">
        <v>0</v>
      </c>
      <c r="G352" s="55">
        <v>600</v>
      </c>
      <c r="H352" s="57">
        <v>0</v>
      </c>
      <c r="I352" s="57">
        <v>0</v>
      </c>
    </row>
    <row r="353" spans="1:9" x14ac:dyDescent="0.25">
      <c r="A353" s="119" t="s">
        <v>281</v>
      </c>
      <c r="B353" s="64">
        <f t="shared" si="5"/>
        <v>255081</v>
      </c>
      <c r="C353" s="55">
        <v>185691</v>
      </c>
      <c r="D353" s="55">
        <v>68090</v>
      </c>
      <c r="E353" s="55">
        <v>0</v>
      </c>
      <c r="F353" s="55">
        <v>0</v>
      </c>
      <c r="G353" s="55">
        <v>1300</v>
      </c>
      <c r="H353" s="57">
        <v>0</v>
      </c>
      <c r="I353" s="57">
        <v>0</v>
      </c>
    </row>
    <row r="354" spans="1:9" x14ac:dyDescent="0.25">
      <c r="A354" s="119" t="s">
        <v>456</v>
      </c>
      <c r="B354" s="64">
        <f t="shared" si="5"/>
        <v>1900</v>
      </c>
      <c r="C354" s="55"/>
      <c r="D354" s="55">
        <v>1900</v>
      </c>
      <c r="E354" s="55"/>
      <c r="F354" s="55"/>
      <c r="G354" s="55"/>
      <c r="H354" s="57"/>
      <c r="I354" s="57"/>
    </row>
    <row r="355" spans="1:9" x14ac:dyDescent="0.25">
      <c r="A355" s="120" t="s">
        <v>71</v>
      </c>
      <c r="B355" s="64">
        <f t="shared" si="5"/>
        <v>234814</v>
      </c>
      <c r="C355" s="55">
        <v>211118</v>
      </c>
      <c r="D355" s="55">
        <v>23696</v>
      </c>
      <c r="E355" s="55">
        <v>0</v>
      </c>
      <c r="F355" s="55">
        <v>0</v>
      </c>
      <c r="G355" s="55"/>
      <c r="H355" s="57">
        <v>0</v>
      </c>
      <c r="I355" s="57">
        <v>0</v>
      </c>
    </row>
    <row r="356" spans="1:9" x14ac:dyDescent="0.25">
      <c r="A356" s="120" t="s">
        <v>72</v>
      </c>
      <c r="B356" s="64">
        <f t="shared" si="5"/>
        <v>409819</v>
      </c>
      <c r="C356" s="55">
        <v>372069</v>
      </c>
      <c r="D356" s="55">
        <v>37750</v>
      </c>
      <c r="E356" s="55">
        <v>0</v>
      </c>
      <c r="F356" s="55">
        <v>0</v>
      </c>
      <c r="G356" s="55"/>
      <c r="H356" s="57">
        <v>0</v>
      </c>
      <c r="I356" s="57">
        <v>0</v>
      </c>
    </row>
    <row r="357" spans="1:9" ht="30" x14ac:dyDescent="0.25">
      <c r="A357" s="120" t="s">
        <v>458</v>
      </c>
      <c r="B357" s="64">
        <f t="shared" si="5"/>
        <v>125909</v>
      </c>
      <c r="C357" s="55">
        <v>106239</v>
      </c>
      <c r="D357" s="55">
        <v>15949</v>
      </c>
      <c r="E357" s="55"/>
      <c r="F357" s="55"/>
      <c r="G357" s="55">
        <v>825</v>
      </c>
      <c r="H357" s="57">
        <v>2896</v>
      </c>
      <c r="I357" s="57"/>
    </row>
    <row r="358" spans="1:9" x14ac:dyDescent="0.25">
      <c r="A358" s="120" t="s">
        <v>73</v>
      </c>
      <c r="B358" s="64">
        <f t="shared" si="5"/>
        <v>23175</v>
      </c>
      <c r="C358" s="55">
        <v>0</v>
      </c>
      <c r="D358" s="55">
        <v>23175</v>
      </c>
      <c r="E358" s="55">
        <v>0</v>
      </c>
      <c r="F358" s="55">
        <v>0</v>
      </c>
      <c r="G358" s="55">
        <v>0</v>
      </c>
      <c r="H358" s="57">
        <v>0</v>
      </c>
      <c r="I358" s="57">
        <v>0</v>
      </c>
    </row>
    <row r="359" spans="1:9" x14ac:dyDescent="0.25">
      <c r="A359" s="120" t="s">
        <v>161</v>
      </c>
      <c r="B359" s="64">
        <f t="shared" si="5"/>
        <v>51354</v>
      </c>
      <c r="C359" s="55">
        <v>2979</v>
      </c>
      <c r="D359" s="55">
        <v>9222</v>
      </c>
      <c r="E359" s="55">
        <v>0</v>
      </c>
      <c r="F359" s="55">
        <v>0</v>
      </c>
      <c r="G359" s="55"/>
      <c r="H359" s="57">
        <v>39153</v>
      </c>
      <c r="I359" s="57">
        <v>0</v>
      </c>
    </row>
    <row r="360" spans="1:9" x14ac:dyDescent="0.25">
      <c r="A360" s="120" t="s">
        <v>482</v>
      </c>
      <c r="B360" s="64">
        <f t="shared" si="5"/>
        <v>430000</v>
      </c>
      <c r="C360" s="55">
        <v>0</v>
      </c>
      <c r="D360" s="55">
        <v>0</v>
      </c>
      <c r="E360" s="55">
        <v>0</v>
      </c>
      <c r="F360" s="55">
        <v>0</v>
      </c>
      <c r="G360" s="55"/>
      <c r="H360" s="57">
        <v>430000</v>
      </c>
      <c r="I360" s="57">
        <v>0</v>
      </c>
    </row>
    <row r="361" spans="1:9" x14ac:dyDescent="0.25">
      <c r="A361" s="119" t="s">
        <v>483</v>
      </c>
      <c r="B361" s="66">
        <f>SUM(C361:I361)</f>
        <v>161876</v>
      </c>
      <c r="C361" s="58"/>
      <c r="D361" s="58"/>
      <c r="E361" s="58"/>
      <c r="F361" s="58"/>
      <c r="G361" s="58"/>
      <c r="H361" s="59">
        <v>161876</v>
      </c>
      <c r="I361" s="59"/>
    </row>
    <row r="362" spans="1:9" x14ac:dyDescent="0.25">
      <c r="A362" s="119" t="s">
        <v>484</v>
      </c>
      <c r="B362" s="66">
        <f>SUM(C362:I362)</f>
        <v>74801</v>
      </c>
      <c r="C362" s="58"/>
      <c r="D362" s="58"/>
      <c r="E362" s="58"/>
      <c r="F362" s="58"/>
      <c r="G362" s="58"/>
      <c r="H362" s="59">
        <v>74801</v>
      </c>
      <c r="I362" s="59"/>
    </row>
    <row r="363" spans="1:9" x14ac:dyDescent="0.25">
      <c r="A363" s="119" t="s">
        <v>485</v>
      </c>
      <c r="B363" s="66">
        <f>SUM(C363:I363)</f>
        <v>49591</v>
      </c>
      <c r="C363" s="58"/>
      <c r="D363" s="58"/>
      <c r="E363" s="58"/>
      <c r="F363" s="58"/>
      <c r="G363" s="58"/>
      <c r="H363" s="59">
        <v>49591</v>
      </c>
      <c r="I363" s="59"/>
    </row>
    <row r="364" spans="1:9" ht="60" x14ac:dyDescent="0.25">
      <c r="A364" s="123" t="s">
        <v>192</v>
      </c>
      <c r="B364" s="64">
        <f t="shared" si="5"/>
        <v>24762</v>
      </c>
      <c r="C364" s="55">
        <v>7887</v>
      </c>
      <c r="D364" s="55">
        <v>664</v>
      </c>
      <c r="E364" s="55">
        <v>0</v>
      </c>
      <c r="F364" s="55">
        <v>0</v>
      </c>
      <c r="G364" s="55">
        <v>0</v>
      </c>
      <c r="H364" s="57">
        <v>16211</v>
      </c>
      <c r="I364" s="57">
        <v>0</v>
      </c>
    </row>
    <row r="365" spans="1:9" ht="45" x14ac:dyDescent="0.25">
      <c r="A365" s="124" t="s">
        <v>489</v>
      </c>
      <c r="B365" s="66">
        <f t="shared" ref="B365:B373" si="6">SUM(C365:I365)</f>
        <v>102798</v>
      </c>
      <c r="C365" s="55">
        <v>43416</v>
      </c>
      <c r="D365" s="55">
        <v>45203</v>
      </c>
      <c r="E365" s="55"/>
      <c r="F365" s="55"/>
      <c r="G365" s="55">
        <v>14179</v>
      </c>
      <c r="H365" s="57"/>
      <c r="I365" s="57"/>
    </row>
    <row r="366" spans="1:9" ht="30" x14ac:dyDescent="0.25">
      <c r="A366" s="119" t="s">
        <v>486</v>
      </c>
      <c r="B366" s="66">
        <f t="shared" si="6"/>
        <v>6407</v>
      </c>
      <c r="C366" s="58"/>
      <c r="D366" s="58">
        <v>6407</v>
      </c>
      <c r="E366" s="58"/>
      <c r="F366" s="58"/>
      <c r="G366" s="58"/>
      <c r="H366" s="59"/>
      <c r="I366" s="59"/>
    </row>
    <row r="367" spans="1:9" ht="30" x14ac:dyDescent="0.25">
      <c r="A367" s="119" t="s">
        <v>487</v>
      </c>
      <c r="B367" s="66">
        <f t="shared" si="6"/>
        <v>1100</v>
      </c>
      <c r="C367" s="55"/>
      <c r="D367" s="55">
        <v>1100</v>
      </c>
      <c r="E367" s="55"/>
      <c r="F367" s="55"/>
      <c r="G367" s="55"/>
      <c r="H367" s="57"/>
      <c r="I367" s="57"/>
    </row>
    <row r="368" spans="1:9" ht="30" x14ac:dyDescent="0.25">
      <c r="A368" s="119" t="s">
        <v>488</v>
      </c>
      <c r="B368" s="66">
        <f t="shared" si="6"/>
        <v>5700</v>
      </c>
      <c r="C368" s="55"/>
      <c r="D368" s="55">
        <v>2200</v>
      </c>
      <c r="E368" s="55"/>
      <c r="F368" s="55"/>
      <c r="G368" s="55">
        <v>3500</v>
      </c>
      <c r="H368" s="57"/>
      <c r="I368" s="57"/>
    </row>
    <row r="369" spans="1:9" ht="45" x14ac:dyDescent="0.25">
      <c r="A369" s="123" t="s">
        <v>205</v>
      </c>
      <c r="B369" s="66">
        <f t="shared" si="6"/>
        <v>29465</v>
      </c>
      <c r="C369" s="55">
        <v>0</v>
      </c>
      <c r="D369" s="55">
        <v>0</v>
      </c>
      <c r="E369" s="55">
        <v>0</v>
      </c>
      <c r="F369" s="55">
        <v>0</v>
      </c>
      <c r="G369" s="55">
        <v>0</v>
      </c>
      <c r="H369" s="57">
        <v>0</v>
      </c>
      <c r="I369" s="57">
        <v>29465</v>
      </c>
    </row>
    <row r="370" spans="1:9" ht="30" x14ac:dyDescent="0.25">
      <c r="A370" s="120" t="s">
        <v>74</v>
      </c>
      <c r="B370" s="66">
        <f t="shared" si="6"/>
        <v>179094</v>
      </c>
      <c r="C370" s="55">
        <v>168288</v>
      </c>
      <c r="D370" s="55">
        <v>10766</v>
      </c>
      <c r="E370" s="55">
        <v>0</v>
      </c>
      <c r="F370" s="55">
        <v>0</v>
      </c>
      <c r="G370" s="55">
        <v>0</v>
      </c>
      <c r="H370" s="57">
        <v>40</v>
      </c>
      <c r="I370" s="57">
        <v>0</v>
      </c>
    </row>
    <row r="371" spans="1:9" ht="30" x14ac:dyDescent="0.25">
      <c r="A371" s="120" t="s">
        <v>154</v>
      </c>
      <c r="B371" s="66">
        <f t="shared" si="6"/>
        <v>13062</v>
      </c>
      <c r="C371" s="55">
        <v>9025</v>
      </c>
      <c r="D371" s="55">
        <v>4037</v>
      </c>
      <c r="E371" s="55">
        <v>0</v>
      </c>
      <c r="F371" s="55"/>
      <c r="G371" s="55"/>
      <c r="H371" s="57"/>
      <c r="I371" s="57"/>
    </row>
    <row r="372" spans="1:9" ht="30" x14ac:dyDescent="0.25">
      <c r="A372" s="123" t="s">
        <v>155</v>
      </c>
      <c r="B372" s="66">
        <f t="shared" si="6"/>
        <v>29850</v>
      </c>
      <c r="C372" s="55">
        <v>12000</v>
      </c>
      <c r="D372" s="55">
        <v>0</v>
      </c>
      <c r="E372" s="55">
        <v>0</v>
      </c>
      <c r="F372" s="55"/>
      <c r="G372" s="55"/>
      <c r="H372" s="57">
        <v>17850</v>
      </c>
      <c r="I372" s="57"/>
    </row>
    <row r="373" spans="1:9" ht="31.5" x14ac:dyDescent="0.25">
      <c r="A373" s="129" t="s">
        <v>206</v>
      </c>
      <c r="B373" s="66">
        <f t="shared" si="6"/>
        <v>214333</v>
      </c>
      <c r="C373" s="55">
        <v>154297</v>
      </c>
      <c r="D373" s="55">
        <v>50436</v>
      </c>
      <c r="E373" s="55">
        <v>0</v>
      </c>
      <c r="F373" s="55"/>
      <c r="G373" s="55"/>
      <c r="H373" s="57">
        <v>9600</v>
      </c>
      <c r="I373" s="57"/>
    </row>
    <row r="374" spans="1:9" x14ac:dyDescent="0.25">
      <c r="A374" s="126" t="s">
        <v>462</v>
      </c>
      <c r="B374" s="64">
        <f t="shared" si="5"/>
        <v>57602</v>
      </c>
      <c r="C374" s="68">
        <v>48272</v>
      </c>
      <c r="D374" s="68">
        <v>8630</v>
      </c>
      <c r="E374" s="67"/>
      <c r="F374" s="67"/>
      <c r="G374" s="68">
        <v>700</v>
      </c>
      <c r="H374" s="67"/>
      <c r="I374" s="67"/>
    </row>
    <row r="375" spans="1:9" x14ac:dyDescent="0.25">
      <c r="A375" s="126" t="s">
        <v>463</v>
      </c>
      <c r="B375" s="64">
        <f t="shared" si="5"/>
        <v>11164</v>
      </c>
      <c r="C375" s="68">
        <v>9964</v>
      </c>
      <c r="D375" s="68">
        <v>1200</v>
      </c>
      <c r="E375" s="67"/>
      <c r="F375" s="67"/>
      <c r="G375" s="67"/>
      <c r="H375" s="67"/>
      <c r="I375" s="67"/>
    </row>
    <row r="376" spans="1:9" ht="30" x14ac:dyDescent="0.25">
      <c r="A376" s="126" t="s">
        <v>464</v>
      </c>
      <c r="B376" s="64">
        <f t="shared" si="5"/>
        <v>4364</v>
      </c>
      <c r="C376" s="68">
        <v>3664</v>
      </c>
      <c r="D376" s="68">
        <v>700</v>
      </c>
      <c r="E376" s="67"/>
      <c r="F376" s="67"/>
      <c r="G376" s="67"/>
      <c r="H376" s="67"/>
      <c r="I376" s="67"/>
    </row>
    <row r="377" spans="1:9" x14ac:dyDescent="0.25">
      <c r="A377" s="126" t="s">
        <v>465</v>
      </c>
      <c r="B377" s="64">
        <f t="shared" si="5"/>
        <v>300</v>
      </c>
      <c r="C377" s="73"/>
      <c r="D377" s="73"/>
      <c r="E377" s="74">
        <v>300</v>
      </c>
      <c r="F377" s="73"/>
      <c r="G377" s="73"/>
      <c r="H377" s="73"/>
      <c r="I377" s="73"/>
    </row>
    <row r="378" spans="1:9" ht="90" x14ac:dyDescent="0.25">
      <c r="A378" s="140" t="s">
        <v>460</v>
      </c>
      <c r="B378" s="64">
        <f t="shared" si="5"/>
        <v>14784</v>
      </c>
      <c r="C378" s="76"/>
      <c r="D378" s="76"/>
      <c r="E378" s="76"/>
      <c r="F378" s="76"/>
      <c r="G378" s="76">
        <v>14784</v>
      </c>
      <c r="H378" s="76"/>
      <c r="I378" s="76"/>
    </row>
    <row r="379" spans="1:9" x14ac:dyDescent="0.25">
      <c r="A379" s="126" t="s">
        <v>461</v>
      </c>
      <c r="B379" s="64">
        <f t="shared" si="5"/>
        <v>79237</v>
      </c>
      <c r="C379" s="99">
        <v>57662</v>
      </c>
      <c r="D379" s="99">
        <v>21575</v>
      </c>
      <c r="E379" s="100"/>
      <c r="F379" s="100"/>
      <c r="G379" s="100"/>
      <c r="H379" s="100"/>
      <c r="I379" s="100"/>
    </row>
    <row r="380" spans="1:9" x14ac:dyDescent="0.25">
      <c r="A380" s="127" t="s">
        <v>466</v>
      </c>
      <c r="B380" s="64">
        <f t="shared" si="5"/>
        <v>32844</v>
      </c>
      <c r="C380" s="77">
        <v>28486</v>
      </c>
      <c r="D380" s="77">
        <v>3120</v>
      </c>
      <c r="E380" s="76"/>
      <c r="F380" s="76"/>
      <c r="G380" s="76"/>
      <c r="H380" s="76"/>
      <c r="I380" s="76">
        <v>1238</v>
      </c>
    </row>
    <row r="381" spans="1:9" ht="45" x14ac:dyDescent="0.25">
      <c r="A381" s="123" t="s">
        <v>158</v>
      </c>
      <c r="B381" s="64">
        <f t="shared" si="5"/>
        <v>18668</v>
      </c>
      <c r="C381" s="55">
        <v>12620</v>
      </c>
      <c r="D381" s="55">
        <v>6048</v>
      </c>
      <c r="E381" s="55">
        <v>0</v>
      </c>
      <c r="F381" s="55">
        <v>0</v>
      </c>
      <c r="G381" s="55">
        <v>0</v>
      </c>
      <c r="H381" s="57">
        <v>0</v>
      </c>
      <c r="I381" s="57">
        <v>0</v>
      </c>
    </row>
    <row r="382" spans="1:9" x14ac:dyDescent="0.25">
      <c r="A382" s="141" t="s">
        <v>169</v>
      </c>
      <c r="B382" s="64">
        <f t="shared" si="5"/>
        <v>4424</v>
      </c>
      <c r="C382" s="55">
        <v>0</v>
      </c>
      <c r="D382" s="55">
        <v>0</v>
      </c>
      <c r="E382" s="55">
        <v>4424</v>
      </c>
      <c r="F382" s="55"/>
      <c r="G382" s="55">
        <v>0</v>
      </c>
      <c r="H382" s="57"/>
      <c r="I382" s="57"/>
    </row>
    <row r="383" spans="1:9" ht="75" x14ac:dyDescent="0.25">
      <c r="A383" s="119" t="s">
        <v>202</v>
      </c>
      <c r="B383" s="64">
        <f t="shared" si="5"/>
        <v>12936</v>
      </c>
      <c r="C383" s="55">
        <v>4000</v>
      </c>
      <c r="D383" s="55">
        <v>8936</v>
      </c>
      <c r="E383" s="55"/>
      <c r="F383" s="55"/>
      <c r="G383" s="55"/>
      <c r="H383" s="57"/>
      <c r="I383" s="57"/>
    </row>
    <row r="384" spans="1:9" ht="45" x14ac:dyDescent="0.25">
      <c r="A384" s="123" t="s">
        <v>200</v>
      </c>
      <c r="B384" s="64">
        <f t="shared" si="5"/>
        <v>23141</v>
      </c>
      <c r="C384" s="55">
        <v>0</v>
      </c>
      <c r="D384" s="55">
        <v>23141</v>
      </c>
      <c r="E384" s="55"/>
      <c r="F384" s="55"/>
      <c r="G384" s="55"/>
      <c r="H384" s="57"/>
      <c r="I384" s="57"/>
    </row>
    <row r="385" spans="1:9" ht="45" x14ac:dyDescent="0.25">
      <c r="A385" s="120" t="s">
        <v>204</v>
      </c>
      <c r="B385" s="64">
        <f t="shared" si="5"/>
        <v>17160</v>
      </c>
      <c r="C385" s="55"/>
      <c r="D385" s="55">
        <v>17160</v>
      </c>
      <c r="E385" s="55"/>
      <c r="F385" s="55"/>
      <c r="G385" s="55"/>
      <c r="H385" s="57"/>
      <c r="I385" s="57"/>
    </row>
    <row r="386" spans="1:9" ht="30" x14ac:dyDescent="0.25">
      <c r="A386" s="119" t="s">
        <v>162</v>
      </c>
      <c r="B386" s="64">
        <f t="shared" si="5"/>
        <v>26838</v>
      </c>
      <c r="C386" s="55"/>
      <c r="D386" s="55">
        <v>26838</v>
      </c>
      <c r="E386" s="55"/>
      <c r="F386" s="55"/>
      <c r="G386" s="55"/>
      <c r="H386" s="57"/>
      <c r="I386" s="57"/>
    </row>
    <row r="387" spans="1:9" ht="30" x14ac:dyDescent="0.25">
      <c r="A387" s="123" t="s">
        <v>439</v>
      </c>
      <c r="B387" s="64">
        <f t="shared" si="5"/>
        <v>57346</v>
      </c>
      <c r="C387" s="55">
        <v>34256</v>
      </c>
      <c r="D387" s="55">
        <v>23090</v>
      </c>
      <c r="E387" s="55"/>
      <c r="F387" s="55"/>
      <c r="G387" s="55"/>
      <c r="H387" s="57">
        <v>0</v>
      </c>
      <c r="I387" s="57">
        <v>0</v>
      </c>
    </row>
    <row r="388" spans="1:9" x14ac:dyDescent="0.25">
      <c r="A388" s="123" t="s">
        <v>438</v>
      </c>
      <c r="B388" s="64">
        <f t="shared" si="5"/>
        <v>3358</v>
      </c>
      <c r="C388" s="55">
        <v>566</v>
      </c>
      <c r="D388" s="55">
        <v>2792</v>
      </c>
      <c r="E388" s="55"/>
      <c r="F388" s="55"/>
      <c r="G388" s="55"/>
      <c r="H388" s="57">
        <v>0</v>
      </c>
      <c r="I388" s="57">
        <v>0</v>
      </c>
    </row>
    <row r="389" spans="1:9" ht="45" x14ac:dyDescent="0.25">
      <c r="A389" s="137" t="s">
        <v>203</v>
      </c>
      <c r="B389" s="64">
        <f t="shared" si="5"/>
        <v>23784</v>
      </c>
      <c r="C389" s="55">
        <v>0</v>
      </c>
      <c r="D389" s="55">
        <v>23784</v>
      </c>
      <c r="E389" s="55"/>
      <c r="F389" s="55"/>
      <c r="G389" s="55"/>
      <c r="H389" s="57"/>
      <c r="I389" s="57"/>
    </row>
    <row r="390" spans="1:9" ht="60" x14ac:dyDescent="0.25">
      <c r="A390" s="123" t="s">
        <v>173</v>
      </c>
      <c r="B390" s="64">
        <f t="shared" si="5"/>
        <v>107513</v>
      </c>
      <c r="C390" s="55">
        <v>0</v>
      </c>
      <c r="D390" s="55">
        <v>55775</v>
      </c>
      <c r="E390" s="55"/>
      <c r="F390" s="55"/>
      <c r="G390" s="55">
        <v>51738</v>
      </c>
      <c r="H390" s="57"/>
      <c r="I390" s="57"/>
    </row>
    <row r="391" spans="1:9" x14ac:dyDescent="0.25">
      <c r="A391" s="120" t="s">
        <v>152</v>
      </c>
      <c r="B391" s="64">
        <f t="shared" si="5"/>
        <v>500</v>
      </c>
      <c r="C391" s="55"/>
      <c r="D391" s="55"/>
      <c r="E391" s="55">
        <v>500</v>
      </c>
      <c r="F391" s="55"/>
      <c r="G391" s="55"/>
      <c r="H391" s="57"/>
      <c r="I391" s="57"/>
    </row>
    <row r="392" spans="1:9" x14ac:dyDescent="0.25">
      <c r="A392" s="120" t="s">
        <v>135</v>
      </c>
      <c r="B392" s="64">
        <f t="shared" si="5"/>
        <v>1400</v>
      </c>
      <c r="C392" s="55"/>
      <c r="D392" s="55"/>
      <c r="E392" s="55">
        <v>1400</v>
      </c>
      <c r="F392" s="55"/>
      <c r="G392" s="55"/>
      <c r="H392" s="57"/>
      <c r="I392" s="57"/>
    </row>
    <row r="393" spans="1:9" ht="30" x14ac:dyDescent="0.25">
      <c r="A393" s="137" t="s">
        <v>153</v>
      </c>
      <c r="B393" s="64">
        <f t="shared" si="5"/>
        <v>150</v>
      </c>
      <c r="C393" s="55"/>
      <c r="D393" s="55"/>
      <c r="E393" s="55">
        <v>150</v>
      </c>
      <c r="F393" s="55"/>
      <c r="G393" s="55"/>
      <c r="H393" s="57"/>
      <c r="I393" s="57"/>
    </row>
    <row r="394" spans="1:9" ht="30" x14ac:dyDescent="0.25">
      <c r="A394" s="120" t="s">
        <v>136</v>
      </c>
      <c r="B394" s="64">
        <f t="shared" si="5"/>
        <v>1320</v>
      </c>
      <c r="C394" s="60"/>
      <c r="D394" s="60"/>
      <c r="E394" s="60">
        <v>1320</v>
      </c>
      <c r="F394" s="60"/>
      <c r="G394" s="60"/>
      <c r="H394" s="61"/>
      <c r="I394" s="61"/>
    </row>
    <row r="395" spans="1:9" ht="30" x14ac:dyDescent="0.25">
      <c r="A395" s="120" t="s">
        <v>137</v>
      </c>
      <c r="B395" s="64">
        <f t="shared" si="5"/>
        <v>1400</v>
      </c>
      <c r="C395" s="55"/>
      <c r="D395" s="55"/>
      <c r="E395" s="55">
        <v>1400</v>
      </c>
      <c r="F395" s="55"/>
      <c r="G395" s="55"/>
      <c r="H395" s="57"/>
      <c r="I395" s="57"/>
    </row>
    <row r="396" spans="1:9" x14ac:dyDescent="0.25">
      <c r="A396" s="123" t="s">
        <v>470</v>
      </c>
      <c r="B396" s="64">
        <f t="shared" si="5"/>
        <v>2061</v>
      </c>
      <c r="C396" s="55"/>
      <c r="D396" s="55">
        <v>2061</v>
      </c>
      <c r="E396" s="55"/>
      <c r="F396" s="55"/>
      <c r="G396" s="55"/>
      <c r="H396" s="57"/>
      <c r="I396" s="57"/>
    </row>
    <row r="397" spans="1:9" ht="63" x14ac:dyDescent="0.25">
      <c r="A397" s="142" t="s">
        <v>210</v>
      </c>
      <c r="B397" s="64">
        <f t="shared" si="5"/>
        <v>10430</v>
      </c>
      <c r="C397" s="55"/>
      <c r="D397" s="55">
        <v>10430</v>
      </c>
      <c r="E397" s="55"/>
      <c r="F397" s="55"/>
      <c r="G397" s="55"/>
      <c r="H397" s="57"/>
      <c r="I397" s="57"/>
    </row>
    <row r="398" spans="1:9" ht="47.25" x14ac:dyDescent="0.25">
      <c r="A398" s="143" t="s">
        <v>493</v>
      </c>
      <c r="B398" s="64">
        <f t="shared" si="5"/>
        <v>6826</v>
      </c>
      <c r="C398" s="55"/>
      <c r="D398" s="55">
        <v>6826</v>
      </c>
      <c r="E398" s="55"/>
      <c r="F398" s="55"/>
      <c r="G398" s="55"/>
      <c r="H398" s="57"/>
      <c r="I398" s="57"/>
    </row>
    <row r="399" spans="1:9" ht="31.5" x14ac:dyDescent="0.25">
      <c r="A399" s="101" t="s">
        <v>494</v>
      </c>
      <c r="B399" s="64">
        <f t="shared" si="5"/>
        <v>122836</v>
      </c>
      <c r="C399" s="55"/>
      <c r="D399" s="55"/>
      <c r="E399" s="55"/>
      <c r="F399" s="55"/>
      <c r="G399" s="55">
        <v>122836</v>
      </c>
      <c r="H399" s="57"/>
      <c r="I399" s="57"/>
    </row>
    <row r="400" spans="1:9" ht="31.5" x14ac:dyDescent="0.25">
      <c r="A400" s="129" t="s">
        <v>495</v>
      </c>
      <c r="B400" s="64">
        <f t="shared" si="5"/>
        <v>282363</v>
      </c>
      <c r="C400" s="55"/>
      <c r="D400" s="55"/>
      <c r="E400" s="55"/>
      <c r="F400" s="55"/>
      <c r="G400" s="55">
        <v>282363</v>
      </c>
      <c r="H400" s="57"/>
      <c r="I400" s="57"/>
    </row>
    <row r="401" spans="1:9" ht="47.25" x14ac:dyDescent="0.25">
      <c r="A401" s="129" t="s">
        <v>496</v>
      </c>
      <c r="B401" s="64">
        <f t="shared" si="5"/>
        <v>400000</v>
      </c>
      <c r="C401" s="55"/>
      <c r="D401" s="55"/>
      <c r="E401" s="55"/>
      <c r="F401" s="55"/>
      <c r="G401" s="55">
        <v>400000</v>
      </c>
      <c r="H401" s="57"/>
      <c r="I401" s="57"/>
    </row>
    <row r="402" spans="1:9" ht="63" x14ac:dyDescent="0.25">
      <c r="A402" s="129" t="s">
        <v>504</v>
      </c>
      <c r="B402" s="64">
        <f t="shared" si="5"/>
        <v>364336</v>
      </c>
      <c r="C402" s="55"/>
      <c r="D402" s="55"/>
      <c r="E402" s="55"/>
      <c r="F402" s="55"/>
      <c r="G402" s="55">
        <v>364336</v>
      </c>
      <c r="H402" s="57"/>
      <c r="I402" s="57"/>
    </row>
    <row r="403" spans="1:9" ht="63" x14ac:dyDescent="0.25">
      <c r="A403" s="129" t="s">
        <v>505</v>
      </c>
      <c r="B403" s="64">
        <f t="shared" si="5"/>
        <v>5000</v>
      </c>
      <c r="C403" s="55">
        <v>383</v>
      </c>
      <c r="D403" s="55">
        <v>4617</v>
      </c>
      <c r="E403" s="55"/>
      <c r="F403" s="55"/>
      <c r="G403" s="55"/>
      <c r="H403" s="57"/>
      <c r="I403" s="57"/>
    </row>
    <row r="404" spans="1:9" ht="68.25" customHeight="1" x14ac:dyDescent="0.25">
      <c r="A404" s="129" t="s">
        <v>507</v>
      </c>
      <c r="B404" s="64">
        <f t="shared" si="5"/>
        <v>8000</v>
      </c>
      <c r="C404" s="55">
        <v>3218</v>
      </c>
      <c r="D404" s="55"/>
      <c r="E404" s="55"/>
      <c r="F404" s="55"/>
      <c r="G404" s="55">
        <v>4782</v>
      </c>
      <c r="H404" s="57"/>
      <c r="I404" s="57"/>
    </row>
    <row r="405" spans="1:9" ht="37.5" customHeight="1" x14ac:dyDescent="0.25">
      <c r="A405" s="129" t="s">
        <v>509</v>
      </c>
      <c r="B405" s="64">
        <f t="shared" si="5"/>
        <v>400000</v>
      </c>
      <c r="C405" s="55"/>
      <c r="D405" s="55"/>
      <c r="E405" s="55"/>
      <c r="F405" s="55"/>
      <c r="G405" s="55">
        <v>400000</v>
      </c>
      <c r="H405" s="57"/>
      <c r="I405" s="57"/>
    </row>
    <row r="406" spans="1:9" ht="64.5" customHeight="1" x14ac:dyDescent="0.25">
      <c r="A406" s="129" t="s">
        <v>510</v>
      </c>
      <c r="B406" s="64">
        <f t="shared" si="5"/>
        <v>107862</v>
      </c>
      <c r="C406" s="55"/>
      <c r="D406" s="55"/>
      <c r="E406" s="55"/>
      <c r="F406" s="55"/>
      <c r="G406" s="55">
        <v>107862</v>
      </c>
      <c r="H406" s="57"/>
      <c r="I406" s="57"/>
    </row>
    <row r="407" spans="1:9" ht="35.25" customHeight="1" x14ac:dyDescent="0.25">
      <c r="A407" s="129" t="s">
        <v>511</v>
      </c>
      <c r="B407" s="64">
        <f t="shared" si="5"/>
        <v>351198</v>
      </c>
      <c r="C407" s="55"/>
      <c r="D407" s="55"/>
      <c r="E407" s="55"/>
      <c r="F407" s="55"/>
      <c r="G407" s="55">
        <v>351198</v>
      </c>
      <c r="H407" s="57"/>
      <c r="I407" s="57"/>
    </row>
    <row r="408" spans="1:9" ht="35.25" customHeight="1" x14ac:dyDescent="0.25">
      <c r="A408" s="129" t="s">
        <v>512</v>
      </c>
      <c r="B408" s="64">
        <f t="shared" si="5"/>
        <v>19696</v>
      </c>
      <c r="C408" s="55">
        <v>3280</v>
      </c>
      <c r="D408" s="55">
        <v>16416</v>
      </c>
      <c r="E408" s="55"/>
      <c r="F408" s="55"/>
      <c r="G408" s="55"/>
      <c r="H408" s="57"/>
      <c r="I408" s="57"/>
    </row>
    <row r="409" spans="1:9" ht="35.25" customHeight="1" x14ac:dyDescent="0.25">
      <c r="A409" s="129" t="s">
        <v>515</v>
      </c>
      <c r="B409" s="64">
        <f t="shared" si="5"/>
        <v>6502</v>
      </c>
      <c r="C409" s="55"/>
      <c r="D409" s="55">
        <v>6502</v>
      </c>
      <c r="E409" s="55"/>
      <c r="F409" s="55"/>
      <c r="G409" s="55"/>
      <c r="H409" s="57"/>
      <c r="I409" s="57"/>
    </row>
    <row r="410" spans="1:9" ht="35.25" customHeight="1" x14ac:dyDescent="0.25">
      <c r="A410" s="129" t="s">
        <v>513</v>
      </c>
      <c r="B410" s="64">
        <f t="shared" si="5"/>
        <v>10000</v>
      </c>
      <c r="C410" s="55">
        <v>300</v>
      </c>
      <c r="D410" s="55">
        <v>9700</v>
      </c>
      <c r="E410" s="55"/>
      <c r="F410" s="55"/>
      <c r="G410" s="55"/>
      <c r="H410" s="57"/>
      <c r="I410" s="57"/>
    </row>
    <row r="411" spans="1:9" x14ac:dyDescent="0.25">
      <c r="A411" s="63" t="s">
        <v>75</v>
      </c>
      <c r="B411" s="45">
        <f>SUM(B20:B401)-B140+B402+B403+B404+B405+B406+B407+B408+B410+B409</f>
        <v>39151372</v>
      </c>
      <c r="C411" s="45">
        <f t="shared" ref="C411:I411" si="7">SUM(C20:C401)-C140+C402+C403+C404+C405+C406+C407+C408+C410+C409</f>
        <v>19148088</v>
      </c>
      <c r="D411" s="45">
        <f t="shared" si="7"/>
        <v>7554944</v>
      </c>
      <c r="E411" s="45">
        <f t="shared" si="7"/>
        <v>126762</v>
      </c>
      <c r="F411" s="45">
        <f t="shared" si="7"/>
        <v>21516</v>
      </c>
      <c r="G411" s="45">
        <f t="shared" si="7"/>
        <v>10265660</v>
      </c>
      <c r="H411" s="45">
        <f t="shared" si="7"/>
        <v>1256910</v>
      </c>
      <c r="I411" s="45">
        <f t="shared" si="7"/>
        <v>777492</v>
      </c>
    </row>
    <row r="412" spans="1:9" x14ac:dyDescent="0.25">
      <c r="A412" s="48"/>
      <c r="B412" s="49"/>
      <c r="C412" s="49"/>
      <c r="D412" s="49"/>
      <c r="E412" s="49"/>
      <c r="F412" s="49"/>
      <c r="G412" s="49"/>
      <c r="H412" s="49"/>
      <c r="I412" s="49"/>
    </row>
    <row r="413" spans="1:9" x14ac:dyDescent="0.25">
      <c r="A413" s="48"/>
      <c r="B413" s="48"/>
      <c r="C413" s="49"/>
      <c r="D413" s="49"/>
      <c r="E413" s="49"/>
      <c r="F413" s="49"/>
      <c r="G413" s="49"/>
      <c r="H413" s="49"/>
      <c r="I413" s="49"/>
    </row>
    <row r="414" spans="1:9" ht="18.75" x14ac:dyDescent="0.3">
      <c r="A414" s="48"/>
      <c r="B414" s="53" t="s">
        <v>491</v>
      </c>
      <c r="C414" s="49"/>
      <c r="D414" s="49"/>
      <c r="E414" s="49"/>
      <c r="F414" s="49"/>
      <c r="G414" s="49"/>
      <c r="H414" s="49"/>
      <c r="I414" s="49"/>
    </row>
    <row r="415" spans="1:9" x14ac:dyDescent="0.25">
      <c r="A415" s="48"/>
      <c r="B415" s="48"/>
      <c r="C415" s="49"/>
      <c r="D415" s="49"/>
      <c r="E415" s="49"/>
      <c r="F415" s="49"/>
      <c r="G415" s="49"/>
      <c r="H415" s="49"/>
      <c r="I415" s="49"/>
    </row>
    <row r="416" spans="1:9" x14ac:dyDescent="0.25">
      <c r="A416" s="48"/>
      <c r="B416" s="48"/>
      <c r="C416" s="49"/>
      <c r="D416" s="49"/>
      <c r="E416" s="49"/>
      <c r="F416" s="49"/>
      <c r="G416" s="49"/>
      <c r="H416" s="49"/>
      <c r="I416" s="49"/>
    </row>
    <row r="418" spans="1:9" ht="18.75" x14ac:dyDescent="0.3">
      <c r="A418" s="52"/>
      <c r="B418" s="52"/>
      <c r="D418" s="53"/>
      <c r="E418" s="53"/>
      <c r="F418" s="53"/>
      <c r="G418" s="53"/>
      <c r="H418" s="53"/>
      <c r="I418" s="52"/>
    </row>
    <row r="420" spans="1:9" x14ac:dyDescent="0.25">
      <c r="C420" s="19"/>
      <c r="D420" s="19"/>
      <c r="E420" s="19"/>
      <c r="F420" s="19"/>
      <c r="G420" s="19"/>
      <c r="H420" s="19"/>
      <c r="I420" s="19"/>
    </row>
    <row r="421" spans="1:9" x14ac:dyDescent="0.25">
      <c r="I421" s="19"/>
    </row>
  </sheetData>
  <mergeCells count="4">
    <mergeCell ref="A15:I15"/>
    <mergeCell ref="C17:I17"/>
    <mergeCell ref="A17:A19"/>
    <mergeCell ref="B17:B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landscape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3.pielikums</vt:lpstr>
      <vt:lpstr>4.pielikums</vt:lpstr>
      <vt:lpstr>'4.pielikums'!Print_Area</vt:lpstr>
    </vt:vector>
  </TitlesOfParts>
  <Manager/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Iluta Mezule</cp:lastModifiedBy>
  <cp:lastPrinted>2021-10-20T10:40:31Z</cp:lastPrinted>
  <dcterms:created xsi:type="dcterms:W3CDTF">2014-01-31T18:56:56Z</dcterms:created>
  <dcterms:modified xsi:type="dcterms:W3CDTF">2021-12-28T12:44:51Z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